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ampbesc/Documents/Maximo/MAS GTM/"/>
    </mc:Choice>
  </mc:AlternateContent>
  <xr:revisionPtr revIDLastSave="0" documentId="13_ncr:1_{BE0AEDCE-F931-0A45-8DB2-BB22FA451314}" xr6:coauthVersionLast="47" xr6:coauthVersionMax="47" xr10:uidLastSave="{00000000-0000-0000-0000-000000000000}"/>
  <bookViews>
    <workbookView xWindow="20" yWindow="500" windowWidth="25580" windowHeight="14540" xr2:uid="{BE43DAD7-7525-4C43-8434-649D77803DED}"/>
  </bookViews>
  <sheets>
    <sheet name="V7 Calculator" sheetId="1" r:id="rId1"/>
    <sheet name="Detailed Report" sheetId="3" r:id="rId2"/>
    <sheet name="Predict Data Points" sheetId="2" r:id="rId3"/>
    <sheet name="Versions" sheetId="4" r:id="rId4"/>
  </sheets>
  <definedNames>
    <definedName name="EnvironmentSizes">'V7 Calculator'!$K$21:$K$28</definedName>
    <definedName name="_xlnm.Print_Area" localSheetId="1">'Detailed Report'!$A$1:$J$44</definedName>
    <definedName name="_xlnm.Print_Area" localSheetId="2">'Predict Data Points'!$C$1:$E$27</definedName>
    <definedName name="_xlnm.Print_Area" localSheetId="0">'V7 Calculator'!$I$51:$Q$87</definedName>
    <definedName name="_xlnm.Print_Area" localSheetId="3">Versions!$A$1:$B$44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5" i="1" l="1"/>
  <c r="X84" i="1"/>
  <c r="X83" i="1"/>
  <c r="X82" i="1"/>
  <c r="X81" i="1"/>
  <c r="V85" i="1"/>
  <c r="V84" i="1"/>
  <c r="V83" i="1"/>
  <c r="V81" i="1"/>
  <c r="V82" i="1"/>
  <c r="AG36" i="1"/>
  <c r="AH36" i="1"/>
  <c r="AF36" i="1"/>
  <c r="AH92" i="1"/>
  <c r="AI92" i="1"/>
  <c r="BH92" i="1"/>
  <c r="AS92" i="1"/>
  <c r="AD80" i="1"/>
  <c r="AD86" i="1"/>
  <c r="AD50" i="1"/>
  <c r="AD56" i="1"/>
  <c r="AD68" i="1"/>
  <c r="AD62" i="1"/>
  <c r="BH67" i="1"/>
  <c r="X86" i="1" l="1"/>
  <c r="K23" i="1" l="1"/>
  <c r="W61" i="1"/>
  <c r="W60" i="1"/>
  <c r="W59" i="1"/>
  <c r="W58" i="1"/>
  <c r="W57" i="1"/>
  <c r="L66" i="1"/>
  <c r="K65" i="1"/>
  <c r="L53" i="1"/>
  <c r="K87" i="1" s="1"/>
  <c r="K27" i="1"/>
  <c r="X92" i="1"/>
  <c r="W87" i="1"/>
  <c r="W88" i="1"/>
  <c r="W89" i="1"/>
  <c r="BD92" i="1"/>
  <c r="BC92" i="1"/>
  <c r="W92" i="1" s="1"/>
  <c r="BB92" i="1"/>
  <c r="BA92" i="1"/>
  <c r="AZ92" i="1"/>
  <c r="AQ92" i="1"/>
  <c r="AG92" i="1"/>
  <c r="AE92" i="1"/>
  <c r="V92" i="1"/>
  <c r="BI91" i="1"/>
  <c r="BG91" i="1"/>
  <c r="AP91" i="1"/>
  <c r="AM91" i="1"/>
  <c r="W91" i="1"/>
  <c r="BI90" i="1"/>
  <c r="BG90" i="1"/>
  <c r="AP90" i="1"/>
  <c r="AM90" i="1"/>
  <c r="W90" i="1"/>
  <c r="BI89" i="1"/>
  <c r="BG89" i="1"/>
  <c r="AP89" i="1"/>
  <c r="AM89" i="1"/>
  <c r="BI88" i="1"/>
  <c r="BG88" i="1"/>
  <c r="AP88" i="1"/>
  <c r="AM88" i="1"/>
  <c r="X88" i="1"/>
  <c r="BI87" i="1"/>
  <c r="BG87" i="1"/>
  <c r="AP87" i="1"/>
  <c r="AM87" i="1"/>
  <c r="X87" i="1"/>
  <c r="K25" i="1"/>
  <c r="N25" i="1" s="1"/>
  <c r="N65" i="1" s="1"/>
  <c r="O66" i="1" l="1"/>
  <c r="F36" i="3"/>
  <c r="F4" i="3"/>
  <c r="L65" i="1"/>
  <c r="M66" i="1"/>
  <c r="N66" i="1"/>
  <c r="K38" i="1"/>
  <c r="O25" i="1"/>
  <c r="M25" i="1"/>
  <c r="BI92" i="1"/>
  <c r="AM92" i="1"/>
  <c r="BG92" i="1"/>
  <c r="AP92" i="1"/>
  <c r="M65" i="1" l="1"/>
  <c r="F6" i="3"/>
  <c r="F28" i="3"/>
  <c r="F32" i="3"/>
  <c r="F27" i="3"/>
  <c r="F31" i="3"/>
  <c r="O65" i="1"/>
  <c r="F21" i="3"/>
  <c r="F17" i="3" l="1"/>
  <c r="F12" i="3"/>
  <c r="F16" i="3"/>
  <c r="F13" i="3"/>
  <c r="F35" i="3" l="1"/>
  <c r="F20" i="3"/>
  <c r="W45" i="1" l="1"/>
  <c r="BF80" i="1" l="1"/>
  <c r="X80" i="1"/>
  <c r="W79" i="1" l="1"/>
  <c r="W78" i="1"/>
  <c r="W77" i="1"/>
  <c r="W76" i="1"/>
  <c r="W75" i="1"/>
  <c r="W82" i="1" l="1"/>
  <c r="W81" i="1"/>
  <c r="K78" i="1"/>
  <c r="B123" i="1" l="1"/>
  <c r="B119" i="1"/>
  <c r="L72" i="1"/>
  <c r="L70" i="1"/>
  <c r="K71" i="1"/>
  <c r="K69" i="1"/>
  <c r="BI85" i="1"/>
  <c r="BI84" i="1"/>
  <c r="BI83" i="1"/>
  <c r="BI82" i="1"/>
  <c r="BI81" i="1"/>
  <c r="BI79" i="1"/>
  <c r="BI78" i="1"/>
  <c r="BI77" i="1"/>
  <c r="BI76" i="1"/>
  <c r="BI75" i="1"/>
  <c r="BI73" i="1"/>
  <c r="BI72" i="1"/>
  <c r="BI71" i="1"/>
  <c r="BI70" i="1"/>
  <c r="BI69" i="1"/>
  <c r="BI67" i="1"/>
  <c r="BI66" i="1"/>
  <c r="BI65" i="1"/>
  <c r="BI64" i="1"/>
  <c r="BI63" i="1"/>
  <c r="BI61" i="1"/>
  <c r="BI60" i="1"/>
  <c r="BI59" i="1"/>
  <c r="BI58" i="1"/>
  <c r="BI57" i="1"/>
  <c r="BI55" i="1"/>
  <c r="BI54" i="1"/>
  <c r="BI53" i="1"/>
  <c r="BI52" i="1"/>
  <c r="BI51" i="1"/>
  <c r="BI49" i="1"/>
  <c r="BI48" i="1"/>
  <c r="BI47" i="1"/>
  <c r="BI46" i="1"/>
  <c r="BI45" i="1"/>
  <c r="AS80" i="1"/>
  <c r="AR80" i="1"/>
  <c r="BG85" i="1"/>
  <c r="BG84" i="1"/>
  <c r="BG83" i="1"/>
  <c r="BG82" i="1"/>
  <c r="BG81" i="1"/>
  <c r="BG79" i="1"/>
  <c r="BG78" i="1"/>
  <c r="BG77" i="1"/>
  <c r="BG76" i="1"/>
  <c r="BG75" i="1"/>
  <c r="BG73" i="1"/>
  <c r="BG72" i="1"/>
  <c r="BG71" i="1"/>
  <c r="BG70" i="1"/>
  <c r="BG69" i="1"/>
  <c r="BG67" i="1"/>
  <c r="BG66" i="1"/>
  <c r="BG65" i="1"/>
  <c r="BG64" i="1"/>
  <c r="BG63" i="1"/>
  <c r="BG61" i="1"/>
  <c r="BG60" i="1"/>
  <c r="BG59" i="1"/>
  <c r="BG58" i="1"/>
  <c r="BG57" i="1"/>
  <c r="BG55" i="1"/>
  <c r="BG54" i="1"/>
  <c r="BG53" i="1"/>
  <c r="BG52" i="1"/>
  <c r="BG51" i="1"/>
  <c r="BG49" i="1"/>
  <c r="BG48" i="1"/>
  <c r="BG47" i="1"/>
  <c r="BG46" i="1"/>
  <c r="BG45" i="1"/>
  <c r="AL80" i="1"/>
  <c r="AK80" i="1"/>
  <c r="AJ80" i="1"/>
  <c r="AN87" i="1" l="1"/>
  <c r="AO92" i="1"/>
  <c r="AO88" i="1"/>
  <c r="AN90" i="1"/>
  <c r="AO91" i="1"/>
  <c r="AO87" i="1"/>
  <c r="AN89" i="1"/>
  <c r="AO90" i="1"/>
  <c r="AN92" i="1"/>
  <c r="AN88" i="1"/>
  <c r="AO89" i="1"/>
  <c r="AN91" i="1"/>
  <c r="AA91" i="1"/>
  <c r="AA87" i="1"/>
  <c r="AA88" i="1"/>
  <c r="AA90" i="1"/>
  <c r="AA92" i="1"/>
  <c r="AA89" i="1"/>
  <c r="AN84" i="1"/>
  <c r="AA83" i="1"/>
  <c r="AN81" i="1"/>
  <c r="AA84" i="1"/>
  <c r="AN83" i="1"/>
  <c r="AA86" i="1"/>
  <c r="AA82" i="1"/>
  <c r="AN86" i="1"/>
  <c r="AN82" i="1"/>
  <c r="AA85" i="1"/>
  <c r="AA81" i="1"/>
  <c r="AN85" i="1"/>
  <c r="N70" i="1"/>
  <c r="O72" i="1"/>
  <c r="N72" i="1"/>
  <c r="M72" i="1"/>
  <c r="AN77" i="1"/>
  <c r="AA78" i="1"/>
  <c r="AA79" i="1"/>
  <c r="AA75" i="1"/>
  <c r="AN78" i="1"/>
  <c r="AA76" i="1"/>
  <c r="AA80" i="1"/>
  <c r="AN79" i="1"/>
  <c r="AA77" i="1"/>
  <c r="AN76" i="1"/>
  <c r="AN80" i="1"/>
  <c r="M70" i="1"/>
  <c r="N38" i="1" l="1"/>
  <c r="F37" i="3" s="1"/>
  <c r="F38" i="3" s="1"/>
  <c r="J30" i="3"/>
  <c r="J26" i="3"/>
  <c r="J25" i="3"/>
  <c r="J24" i="3"/>
  <c r="I5" i="3"/>
  <c r="I20" i="3" s="1"/>
  <c r="H5" i="3"/>
  <c r="H20" i="3" s="1"/>
  <c r="H35" i="3" l="1"/>
  <c r="I35" i="3"/>
  <c r="BE80" i="1"/>
  <c r="AM85" i="1" l="1"/>
  <c r="AM84" i="1"/>
  <c r="AM83" i="1"/>
  <c r="AM82" i="1"/>
  <c r="AM81" i="1"/>
  <c r="AM79" i="1"/>
  <c r="AM78" i="1"/>
  <c r="AM77" i="1"/>
  <c r="AM76" i="1"/>
  <c r="AM73" i="1"/>
  <c r="AM72" i="1"/>
  <c r="AM71" i="1"/>
  <c r="AM70" i="1"/>
  <c r="AM69" i="1"/>
  <c r="AM67" i="1"/>
  <c r="AM66" i="1"/>
  <c r="AM65" i="1"/>
  <c r="AM64" i="1"/>
  <c r="AM63" i="1"/>
  <c r="AM61" i="1"/>
  <c r="AM60" i="1"/>
  <c r="AM59" i="1"/>
  <c r="AM58" i="1"/>
  <c r="AM57" i="1"/>
  <c r="AM55" i="1"/>
  <c r="AM54" i="1"/>
  <c r="AM53" i="1"/>
  <c r="AM52" i="1"/>
  <c r="AM51" i="1"/>
  <c r="AM49" i="1"/>
  <c r="AM48" i="1"/>
  <c r="AM47" i="1"/>
  <c r="AM46" i="1"/>
  <c r="AM45" i="1"/>
  <c r="AM75" i="1"/>
  <c r="O70" i="1"/>
  <c r="K28" i="1"/>
  <c r="M28" i="1" l="1"/>
  <c r="N28" i="1"/>
  <c r="O28" i="1"/>
  <c r="K41" i="1"/>
  <c r="I4" i="3"/>
  <c r="L71" i="1"/>
  <c r="Y36" i="1"/>
  <c r="Y35" i="1"/>
  <c r="Y34" i="1"/>
  <c r="Y33" i="1"/>
  <c r="O71" i="1" l="1"/>
  <c r="I21" i="3"/>
  <c r="I36" i="3"/>
  <c r="N71" i="1"/>
  <c r="M71" i="1"/>
  <c r="I6" i="3"/>
  <c r="I29" i="3"/>
  <c r="I31" i="3"/>
  <c r="I32" i="3"/>
  <c r="I27" i="3"/>
  <c r="I28" i="3"/>
  <c r="H4" i="3"/>
  <c r="H28" i="3" s="1"/>
  <c r="L69" i="1"/>
  <c r="N40" i="1"/>
  <c r="H37" i="3" s="1"/>
  <c r="K40" i="1"/>
  <c r="N27" i="1"/>
  <c r="M27" i="1"/>
  <c r="O27" i="1"/>
  <c r="BH86" i="1"/>
  <c r="BD86" i="1"/>
  <c r="BC86" i="1"/>
  <c r="BB86" i="1"/>
  <c r="BA86" i="1"/>
  <c r="AZ86" i="1"/>
  <c r="AS86" i="1"/>
  <c r="AQ86" i="1"/>
  <c r="AI86" i="1"/>
  <c r="AH86" i="1"/>
  <c r="AG86" i="1"/>
  <c r="AE86" i="1"/>
  <c r="V86" i="1"/>
  <c r="AP85" i="1"/>
  <c r="AO85" i="1" s="1"/>
  <c r="W85" i="1"/>
  <c r="AP84" i="1"/>
  <c r="AO84" i="1" s="1"/>
  <c r="W84" i="1"/>
  <c r="AP83" i="1"/>
  <c r="AO83" i="1" s="1"/>
  <c r="W83" i="1"/>
  <c r="AP82" i="1"/>
  <c r="AO82" i="1" s="1"/>
  <c r="AP81" i="1"/>
  <c r="AO81" i="1" s="1"/>
  <c r="BH80" i="1"/>
  <c r="W80" i="1" s="1"/>
  <c r="BD80" i="1"/>
  <c r="BC80" i="1"/>
  <c r="BB80" i="1"/>
  <c r="BA80" i="1"/>
  <c r="AZ80" i="1"/>
  <c r="AQ80" i="1"/>
  <c r="AI80" i="1"/>
  <c r="AH80" i="1"/>
  <c r="AG80" i="1"/>
  <c r="AE80" i="1"/>
  <c r="V80" i="1"/>
  <c r="AP79" i="1"/>
  <c r="AO79" i="1" s="1"/>
  <c r="AP78" i="1"/>
  <c r="AO78" i="1" s="1"/>
  <c r="AP77" i="1"/>
  <c r="AO77" i="1" s="1"/>
  <c r="AP76" i="1"/>
  <c r="AO76" i="1" s="1"/>
  <c r="AP75" i="1"/>
  <c r="W86" i="1" l="1"/>
  <c r="BG86" i="1"/>
  <c r="BI86" i="1"/>
  <c r="BG80" i="1"/>
  <c r="BI80" i="1"/>
  <c r="I13" i="3"/>
  <c r="I15" i="3"/>
  <c r="I17" i="3"/>
  <c r="I12" i="3"/>
  <c r="I14" i="3"/>
  <c r="I16" i="3"/>
  <c r="H32" i="3"/>
  <c r="H31" i="3"/>
  <c r="H27" i="3"/>
  <c r="H29" i="3"/>
  <c r="N69" i="1"/>
  <c r="H36" i="3"/>
  <c r="H38" i="3" s="1"/>
  <c r="H6" i="3"/>
  <c r="M69" i="1"/>
  <c r="H21" i="3"/>
  <c r="O69" i="1"/>
  <c r="AM86" i="1"/>
  <c r="AM80" i="1"/>
  <c r="AP86" i="1"/>
  <c r="AO86" i="1" s="1"/>
  <c r="AP80" i="1"/>
  <c r="AO80" i="1" s="1"/>
  <c r="P78" i="1"/>
  <c r="H16" i="3" l="1"/>
  <c r="H14" i="3"/>
  <c r="H17" i="3"/>
  <c r="H13" i="3"/>
  <c r="H15" i="3"/>
  <c r="H12" i="3"/>
  <c r="L19" i="1"/>
  <c r="L82" i="1"/>
  <c r="Z49" i="1"/>
  <c r="Z48" i="1"/>
  <c r="Z47" i="1"/>
  <c r="Z46" i="1"/>
  <c r="Z45" i="1"/>
  <c r="W73" i="1" l="1"/>
  <c r="W72" i="1"/>
  <c r="W71" i="1"/>
  <c r="W70" i="1"/>
  <c r="W69" i="1"/>
  <c r="W67" i="1"/>
  <c r="W66" i="1"/>
  <c r="W65" i="1"/>
  <c r="W64" i="1"/>
  <c r="W63" i="1"/>
  <c r="W55" i="1"/>
  <c r="W54" i="1"/>
  <c r="W53" i="1"/>
  <c r="W52" i="1"/>
  <c r="W51" i="1"/>
  <c r="W49" i="1"/>
  <c r="W48" i="1"/>
  <c r="W47" i="1"/>
  <c r="W46" i="1"/>
  <c r="AA46" i="1"/>
  <c r="AA47" i="1"/>
  <c r="AA48" i="1"/>
  <c r="AA49" i="1"/>
  <c r="AA45" i="1"/>
  <c r="BH74" i="1"/>
  <c r="BD74" i="1"/>
  <c r="BC74" i="1"/>
  <c r="BA74" i="1"/>
  <c r="AZ74" i="1"/>
  <c r="BH68" i="1"/>
  <c r="BD68" i="1"/>
  <c r="BC68" i="1"/>
  <c r="BB68" i="1"/>
  <c r="BA68" i="1"/>
  <c r="AZ68" i="1"/>
  <c r="BD62" i="1"/>
  <c r="BC62" i="1"/>
  <c r="W62" i="1" s="1"/>
  <c r="BB62" i="1"/>
  <c r="BA62" i="1"/>
  <c r="AZ62" i="1"/>
  <c r="BD56" i="1"/>
  <c r="BC56" i="1"/>
  <c r="BB56" i="1"/>
  <c r="BA56" i="1"/>
  <c r="AZ56" i="1"/>
  <c r="BD50" i="1"/>
  <c r="BC50" i="1"/>
  <c r="BB50" i="1"/>
  <c r="BA50" i="1"/>
  <c r="AZ50" i="1"/>
  <c r="AP73" i="1"/>
  <c r="AP72" i="1"/>
  <c r="AP71" i="1"/>
  <c r="AP70" i="1"/>
  <c r="AP69" i="1"/>
  <c r="AP67" i="1"/>
  <c r="AP65" i="1"/>
  <c r="AP66" i="1"/>
  <c r="AP64" i="1"/>
  <c r="AP63" i="1"/>
  <c r="BI56" i="1" l="1"/>
  <c r="BI74" i="1"/>
  <c r="BI62" i="1"/>
  <c r="BG62" i="1"/>
  <c r="BI68" i="1"/>
  <c r="BI50" i="1"/>
  <c r="AA50" i="1" s="1"/>
  <c r="BG68" i="1"/>
  <c r="BG74" i="1"/>
  <c r="W50" i="1"/>
  <c r="BG50" i="1"/>
  <c r="W56" i="1"/>
  <c r="BG56" i="1"/>
  <c r="W68" i="1"/>
  <c r="W74" i="1"/>
  <c r="AP74" i="1"/>
  <c r="AP68" i="1"/>
  <c r="AP61" i="1"/>
  <c r="AP60" i="1"/>
  <c r="AP59" i="1"/>
  <c r="AP58" i="1"/>
  <c r="AP57" i="1"/>
  <c r="AP55" i="1"/>
  <c r="AP54" i="1"/>
  <c r="AP53" i="1"/>
  <c r="AP52" i="1"/>
  <c r="AP51" i="1"/>
  <c r="AP49" i="1"/>
  <c r="AB49" i="1" s="1"/>
  <c r="AP48" i="1"/>
  <c r="AB48" i="1" s="1"/>
  <c r="AP47" i="1"/>
  <c r="AB47" i="1" s="1"/>
  <c r="AP46" i="1"/>
  <c r="AB46" i="1" s="1"/>
  <c r="AP45" i="1"/>
  <c r="AB45" i="1" s="1"/>
  <c r="AP56" i="1" l="1"/>
  <c r="K26" i="1"/>
  <c r="X50" i="1" l="1"/>
  <c r="A42" i="3" l="1"/>
  <c r="N100" i="1" l="1"/>
  <c r="L90" i="1" l="1"/>
  <c r="L84" i="1"/>
  <c r="L95" i="1"/>
  <c r="L97" i="1"/>
  <c r="L101" i="1"/>
  <c r="L98" i="1"/>
  <c r="L102" i="1"/>
  <c r="L99" i="1"/>
  <c r="L100" i="1"/>
  <c r="J35" i="3" l="1"/>
  <c r="J20" i="3"/>
  <c r="A33" i="3"/>
  <c r="A36" i="3"/>
  <c r="A21" i="3"/>
  <c r="A22" i="3"/>
  <c r="N20" i="2"/>
  <c r="N15" i="2"/>
  <c r="N21" i="2" s="1"/>
  <c r="N14" i="2"/>
  <c r="D20" i="2"/>
  <c r="D15" i="2"/>
  <c r="G4" i="3"/>
  <c r="K22" i="1"/>
  <c r="M23" i="1" l="1"/>
  <c r="O23" i="1"/>
  <c r="N23" i="1"/>
  <c r="G27" i="3"/>
  <c r="G31" i="3"/>
  <c r="G32" i="3"/>
  <c r="C4" i="3"/>
  <c r="D4" i="3"/>
  <c r="D28" i="3" s="1"/>
  <c r="G29" i="3"/>
  <c r="G28" i="3"/>
  <c r="Y30" i="1"/>
  <c r="V30" i="1"/>
  <c r="U30" i="1" s="1"/>
  <c r="Y31" i="1"/>
  <c r="C31" i="3" l="1"/>
  <c r="C32" i="3"/>
  <c r="C27" i="3"/>
  <c r="D27" i="3"/>
  <c r="D32" i="3"/>
  <c r="D31" i="3"/>
  <c r="C29" i="3"/>
  <c r="C28" i="3"/>
  <c r="D29" i="3"/>
  <c r="A11" i="3"/>
  <c r="A26" i="3" s="1"/>
  <c r="A10" i="3"/>
  <c r="A25" i="3" s="1"/>
  <c r="A13" i="3"/>
  <c r="A28" i="3" s="1"/>
  <c r="A9" i="3"/>
  <c r="A24" i="3" s="1"/>
  <c r="A8" i="3"/>
  <c r="A23" i="3" s="1"/>
  <c r="A17" i="3"/>
  <c r="A32" i="3" s="1"/>
  <c r="A15" i="3"/>
  <c r="A30" i="3" s="1"/>
  <c r="A14" i="3"/>
  <c r="A29" i="3" s="1"/>
  <c r="F18" i="2"/>
  <c r="F8" i="2"/>
  <c r="F10" i="2" s="1"/>
  <c r="G20" i="2"/>
  <c r="G8" i="2"/>
  <c r="G7" i="2"/>
  <c r="I7" i="2" s="1"/>
  <c r="G5" i="3" l="1"/>
  <c r="E5" i="3"/>
  <c r="D5" i="3"/>
  <c r="C5" i="3"/>
  <c r="B5" i="3"/>
  <c r="D20" i="3" l="1"/>
  <c r="D35" i="3"/>
  <c r="E35" i="3"/>
  <c r="E20" i="3"/>
  <c r="B35" i="3"/>
  <c r="B20" i="3"/>
  <c r="G20" i="3"/>
  <c r="G35" i="3"/>
  <c r="C35" i="3"/>
  <c r="C20" i="3"/>
  <c r="D14" i="2" l="1"/>
  <c r="D21" i="2" s="1"/>
  <c r="D23" i="2" s="1"/>
  <c r="K21" i="1"/>
  <c r="B121" i="1"/>
  <c r="L58" i="1" s="1"/>
  <c r="B4" i="3" l="1"/>
  <c r="G24" i="1"/>
  <c r="K24" i="1" s="1"/>
  <c r="M46" i="1" s="1"/>
  <c r="AI68" i="1"/>
  <c r="AH68" i="1"/>
  <c r="AJ56" i="1"/>
  <c r="AE74" i="1"/>
  <c r="AM74" i="1" s="1"/>
  <c r="AE68" i="1"/>
  <c r="AE62" i="1"/>
  <c r="AM62" i="1" s="1"/>
  <c r="AE56" i="1"/>
  <c r="AM56" i="1" s="1"/>
  <c r="AG68" i="1"/>
  <c r="AS68" i="1"/>
  <c r="X56" i="1"/>
  <c r="AR56" i="1"/>
  <c r="AQ74" i="1"/>
  <c r="AQ68" i="1"/>
  <c r="AQ62" i="1"/>
  <c r="AP62" i="1"/>
  <c r="AQ56" i="1"/>
  <c r="Y23" i="1"/>
  <c r="Y24" i="1"/>
  <c r="Y26" i="1"/>
  <c r="Y27" i="1"/>
  <c r="Y28" i="1"/>
  <c r="Y29" i="1"/>
  <c r="Y32" i="1"/>
  <c r="V74" i="1"/>
  <c r="V56" i="1"/>
  <c r="V50" i="1"/>
  <c r="X69" i="1"/>
  <c r="AQ50" i="1"/>
  <c r="AP50" i="1"/>
  <c r="AB50" i="1" s="1"/>
  <c r="AE50" i="1"/>
  <c r="AG50" i="1"/>
  <c r="P26" i="1"/>
  <c r="N22" i="1"/>
  <c r="C36" i="3" s="1"/>
  <c r="L52" i="1" l="1"/>
  <c r="B31" i="3"/>
  <c r="B32" i="3"/>
  <c r="B28" i="3"/>
  <c r="B27" i="3"/>
  <c r="AM50" i="1"/>
  <c r="Z50" i="1" s="1"/>
  <c r="AM68" i="1"/>
  <c r="G40" i="3"/>
  <c r="P29" i="1"/>
  <c r="B29" i="3"/>
  <c r="E4" i="3"/>
  <c r="O24" i="1"/>
  <c r="E21" i="3" s="1"/>
  <c r="N34" i="1"/>
  <c r="M24" i="1"/>
  <c r="E6" i="3" s="1"/>
  <c r="N24" i="1"/>
  <c r="E36" i="3" s="1"/>
  <c r="D6" i="3"/>
  <c r="D13" i="3" s="1"/>
  <c r="M22" i="1"/>
  <c r="O22" i="1"/>
  <c r="C21" i="3" s="1"/>
  <c r="L51" i="1"/>
  <c r="M21" i="1"/>
  <c r="B6" i="3" s="1"/>
  <c r="M26" i="1"/>
  <c r="G6" i="3" s="1"/>
  <c r="N26" i="1"/>
  <c r="G36" i="3" s="1"/>
  <c r="G16" i="3" l="1"/>
  <c r="G12" i="3"/>
  <c r="E29" i="3"/>
  <c r="E27" i="3"/>
  <c r="J27" i="3" s="1"/>
  <c r="E31" i="3"/>
  <c r="J31" i="3" s="1"/>
  <c r="E32" i="3"/>
  <c r="J32" i="3" s="1"/>
  <c r="E12" i="3"/>
  <c r="E16" i="3"/>
  <c r="D12" i="3"/>
  <c r="D16" i="3"/>
  <c r="B12" i="3"/>
  <c r="B16" i="3"/>
  <c r="B23" i="3"/>
  <c r="B37" i="3"/>
  <c r="C6" i="3"/>
  <c r="M29" i="1"/>
  <c r="D36" i="3"/>
  <c r="D21" i="3"/>
  <c r="B11" i="3"/>
  <c r="B9" i="3"/>
  <c r="B13" i="3"/>
  <c r="E28" i="3"/>
  <c r="J28" i="3" s="1"/>
  <c r="B15" i="3"/>
  <c r="B10" i="3"/>
  <c r="B14" i="3"/>
  <c r="B8" i="3"/>
  <c r="B17" i="3"/>
  <c r="D17" i="3"/>
  <c r="D15" i="3"/>
  <c r="D14" i="3"/>
  <c r="E17" i="3"/>
  <c r="E15" i="3"/>
  <c r="F15" i="3" s="1"/>
  <c r="E14" i="3"/>
  <c r="F14" i="3" s="1"/>
  <c r="E13" i="3"/>
  <c r="G15" i="3"/>
  <c r="G13" i="3"/>
  <c r="G17" i="3"/>
  <c r="G14" i="3"/>
  <c r="O34" i="1"/>
  <c r="F29" i="3" l="1"/>
  <c r="J29" i="3" s="1"/>
  <c r="C13" i="3"/>
  <c r="J13" i="3" s="1"/>
  <c r="C12" i="3"/>
  <c r="J12" i="3" s="1"/>
  <c r="C16" i="3"/>
  <c r="J16" i="3" s="1"/>
  <c r="C23" i="3"/>
  <c r="D23" i="3" s="1"/>
  <c r="J6" i="3"/>
  <c r="C17" i="3"/>
  <c r="J17" i="3" s="1"/>
  <c r="C9" i="3"/>
  <c r="D9" i="3" s="1"/>
  <c r="C15" i="3"/>
  <c r="J15" i="3" s="1"/>
  <c r="C11" i="3"/>
  <c r="C8" i="3"/>
  <c r="D8" i="3" s="1"/>
  <c r="C14" i="3"/>
  <c r="J14" i="3" s="1"/>
  <c r="C10" i="3"/>
  <c r="D11" i="3" s="1"/>
  <c r="B7" i="3"/>
  <c r="E23" i="3" l="1"/>
  <c r="F23" i="3" s="1"/>
  <c r="AN75" i="1"/>
  <c r="AO45" i="1"/>
  <c r="AO75" i="1"/>
  <c r="N41" i="1"/>
  <c r="I37" i="3" s="1"/>
  <c r="I38" i="3" s="1"/>
  <c r="E11" i="3"/>
  <c r="F11" i="3" s="1"/>
  <c r="D10" i="3"/>
  <c r="AA67" i="1"/>
  <c r="AA66" i="1"/>
  <c r="AA65" i="1"/>
  <c r="AA64" i="1"/>
  <c r="AA68" i="1"/>
  <c r="AA63" i="1"/>
  <c r="AA51" i="1"/>
  <c r="AA73" i="1"/>
  <c r="AA72" i="1"/>
  <c r="AA70" i="1"/>
  <c r="AA69" i="1"/>
  <c r="AA74" i="1"/>
  <c r="AA71" i="1"/>
  <c r="AO74" i="1"/>
  <c r="AO73" i="1"/>
  <c r="AO65" i="1"/>
  <c r="AO57" i="1"/>
  <c r="AO64" i="1"/>
  <c r="AO56" i="1"/>
  <c r="AO63" i="1"/>
  <c r="AO55" i="1"/>
  <c r="AO62" i="1"/>
  <c r="AO54" i="1"/>
  <c r="AO61" i="1"/>
  <c r="AO53" i="1"/>
  <c r="AO60" i="1"/>
  <c r="AO52" i="1"/>
  <c r="AO59" i="1"/>
  <c r="AO51" i="1"/>
  <c r="AO66" i="1"/>
  <c r="AO58" i="1"/>
  <c r="AO72" i="1"/>
  <c r="AO71" i="1"/>
  <c r="AO70" i="1"/>
  <c r="AO69" i="1"/>
  <c r="AO68" i="1"/>
  <c r="AO67" i="1"/>
  <c r="AA57" i="1"/>
  <c r="AA53" i="1"/>
  <c r="AA52" i="1"/>
  <c r="AA58" i="1"/>
  <c r="N36" i="1" s="1"/>
  <c r="AA56" i="1"/>
  <c r="AA55" i="1"/>
  <c r="AA61" i="1"/>
  <c r="AA60" i="1"/>
  <c r="AA62" i="1"/>
  <c r="AA54" i="1"/>
  <c r="AA59" i="1"/>
  <c r="AO49" i="1"/>
  <c r="AO47" i="1"/>
  <c r="AO50" i="1"/>
  <c r="AO48" i="1"/>
  <c r="AO46" i="1"/>
  <c r="E9" i="3"/>
  <c r="F9" i="3" s="1"/>
  <c r="G9" i="3" s="1"/>
  <c r="H9" i="3" s="1"/>
  <c r="I9" i="3" s="1"/>
  <c r="E8" i="3"/>
  <c r="F8" i="3" s="1"/>
  <c r="C7" i="3"/>
  <c r="C18" i="3" s="1"/>
  <c r="B18" i="3"/>
  <c r="AN69" i="1"/>
  <c r="AN51" i="1"/>
  <c r="AN63" i="1"/>
  <c r="AN57" i="1"/>
  <c r="AN45" i="1"/>
  <c r="AN72" i="1"/>
  <c r="AN71" i="1"/>
  <c r="AN74" i="1"/>
  <c r="AN70" i="1"/>
  <c r="AN64" i="1"/>
  <c r="AN60" i="1"/>
  <c r="AN68" i="1"/>
  <c r="AN67" i="1"/>
  <c r="AN59" i="1"/>
  <c r="AN66" i="1"/>
  <c r="AN62" i="1"/>
  <c r="AN58" i="1"/>
  <c r="AN65" i="1"/>
  <c r="AN61" i="1"/>
  <c r="AN73" i="1"/>
  <c r="AN56" i="1"/>
  <c r="AN48" i="1"/>
  <c r="AN53" i="1"/>
  <c r="AN52" i="1"/>
  <c r="AN49" i="1"/>
  <c r="AN54" i="1"/>
  <c r="AN50" i="1"/>
  <c r="AN46" i="1"/>
  <c r="AN55" i="1"/>
  <c r="AN47" i="1"/>
  <c r="AB61" i="1" l="1"/>
  <c r="Z60" i="1"/>
  <c r="Z61" i="1"/>
  <c r="AB59" i="1"/>
  <c r="Z57" i="1"/>
  <c r="AB62" i="1"/>
  <c r="Z62" i="1"/>
  <c r="Z58" i="1"/>
  <c r="M36" i="1" s="1"/>
  <c r="AB58" i="1"/>
  <c r="O36" i="1" s="1"/>
  <c r="Z59" i="1"/>
  <c r="AB60" i="1"/>
  <c r="AB57" i="1"/>
  <c r="G23" i="3"/>
  <c r="H23" i="3" s="1"/>
  <c r="I23" i="3" s="1"/>
  <c r="I22" i="3" s="1"/>
  <c r="I33" i="3" s="1"/>
  <c r="F22" i="3"/>
  <c r="F33" i="3" s="1"/>
  <c r="Z87" i="1"/>
  <c r="G8" i="3"/>
  <c r="H8" i="3" s="1"/>
  <c r="G11" i="3"/>
  <c r="H11" i="3" s="1"/>
  <c r="I11" i="3" s="1"/>
  <c r="E10" i="3"/>
  <c r="F10" i="3" s="1"/>
  <c r="Z90" i="1"/>
  <c r="AB90" i="1"/>
  <c r="AB92" i="1"/>
  <c r="Z91" i="1"/>
  <c r="Z92" i="1"/>
  <c r="AB88" i="1"/>
  <c r="Z88" i="1"/>
  <c r="AB87" i="1"/>
  <c r="AB89" i="1"/>
  <c r="AB91" i="1"/>
  <c r="Z89" i="1"/>
  <c r="Z83" i="1"/>
  <c r="AB86" i="1"/>
  <c r="AB83" i="1"/>
  <c r="Z84" i="1"/>
  <c r="Z85" i="1"/>
  <c r="Z82" i="1"/>
  <c r="AB82" i="1"/>
  <c r="Z86" i="1"/>
  <c r="AB84" i="1"/>
  <c r="AB81" i="1"/>
  <c r="Z81" i="1"/>
  <c r="AB85" i="1"/>
  <c r="AB78" i="1"/>
  <c r="AB80" i="1"/>
  <c r="AB76" i="1"/>
  <c r="AB79" i="1"/>
  <c r="AB77" i="1"/>
  <c r="Z76" i="1"/>
  <c r="AB75" i="1"/>
  <c r="Z77" i="1"/>
  <c r="Z78" i="1"/>
  <c r="Z80" i="1"/>
  <c r="Z79" i="1"/>
  <c r="Z75" i="1"/>
  <c r="Z52" i="1"/>
  <c r="Z64" i="1"/>
  <c r="Z68" i="1"/>
  <c r="Z67" i="1"/>
  <c r="Z51" i="1"/>
  <c r="Z63" i="1"/>
  <c r="Z53" i="1"/>
  <c r="Z65" i="1"/>
  <c r="Z54" i="1"/>
  <c r="Z66" i="1"/>
  <c r="Z56" i="1"/>
  <c r="Z55" i="1"/>
  <c r="AB53" i="1"/>
  <c r="AB55" i="1"/>
  <c r="D37" i="3"/>
  <c r="D38" i="3" s="1"/>
  <c r="AB54" i="1"/>
  <c r="AB52" i="1"/>
  <c r="AB56" i="1"/>
  <c r="AB51" i="1"/>
  <c r="N35" i="1"/>
  <c r="N39" i="1"/>
  <c r="N37" i="1"/>
  <c r="E37" i="3" s="1"/>
  <c r="E38" i="3" s="1"/>
  <c r="Z69" i="1"/>
  <c r="D7" i="3"/>
  <c r="AB69" i="1"/>
  <c r="AB63" i="1"/>
  <c r="AB71" i="1"/>
  <c r="AB65" i="1"/>
  <c r="AB74" i="1"/>
  <c r="AB68" i="1"/>
  <c r="AB72" i="1"/>
  <c r="AB66" i="1"/>
  <c r="AB73" i="1"/>
  <c r="AB67" i="1"/>
  <c r="AB70" i="1"/>
  <c r="AB64" i="1"/>
  <c r="Z72" i="1"/>
  <c r="Z70" i="1"/>
  <c r="Z74" i="1"/>
  <c r="Z71" i="1"/>
  <c r="Z73" i="1"/>
  <c r="M38" i="1" l="1"/>
  <c r="F7" i="3"/>
  <c r="F18" i="3" s="1"/>
  <c r="G10" i="3"/>
  <c r="H10" i="3" s="1"/>
  <c r="I8" i="3"/>
  <c r="O38" i="1"/>
  <c r="M78" i="1"/>
  <c r="O41" i="1"/>
  <c r="O40" i="1"/>
  <c r="M40" i="1"/>
  <c r="M41" i="1"/>
  <c r="O78" i="1"/>
  <c r="J9" i="3"/>
  <c r="J11" i="3"/>
  <c r="G37" i="3"/>
  <c r="G38" i="3" s="1"/>
  <c r="C37" i="3"/>
  <c r="C38" i="3" s="1"/>
  <c r="N42" i="1"/>
  <c r="D18" i="3"/>
  <c r="E7" i="3"/>
  <c r="E18" i="3" s="1"/>
  <c r="M39" i="1"/>
  <c r="M35" i="1"/>
  <c r="O35" i="1"/>
  <c r="M37" i="1"/>
  <c r="O37" i="1"/>
  <c r="O39" i="1"/>
  <c r="G6" i="1"/>
  <c r="I6" i="1"/>
  <c r="C44" i="3" s="1"/>
  <c r="G7" i="1"/>
  <c r="I7" i="1"/>
  <c r="G8" i="1"/>
  <c r="I8" i="1"/>
  <c r="G9" i="1"/>
  <c r="I9" i="1"/>
  <c r="H10" i="1"/>
  <c r="J10" i="1"/>
  <c r="N93" i="1"/>
  <c r="L83" i="1" s="1"/>
  <c r="N82" i="1"/>
  <c r="K37" i="1"/>
  <c r="I35" i="1"/>
  <c r="I36" i="1"/>
  <c r="I37" i="1"/>
  <c r="I39" i="1"/>
  <c r="I34" i="1"/>
  <c r="M34" i="1"/>
  <c r="G7" i="3" l="1"/>
  <c r="G18" i="3" s="1"/>
  <c r="I10" i="3"/>
  <c r="J10" i="3" s="1"/>
  <c r="H7" i="3"/>
  <c r="H18" i="3" s="1"/>
  <c r="M42" i="1"/>
  <c r="O42" i="1"/>
  <c r="J37" i="3"/>
  <c r="B44" i="3"/>
  <c r="I10" i="1"/>
  <c r="G10" i="1"/>
  <c r="I7" i="3" l="1"/>
  <c r="I18" i="3" s="1"/>
  <c r="J8" i="3"/>
  <c r="X74" i="1"/>
  <c r="X72" i="1"/>
  <c r="X71" i="1"/>
  <c r="X70" i="1"/>
  <c r="O26" i="1" s="1"/>
  <c r="J7" i="3" l="1"/>
  <c r="J18" i="3" s="1"/>
  <c r="G21" i="3"/>
  <c r="O21" i="1"/>
  <c r="B21" i="3" s="1"/>
  <c r="L63" i="1"/>
  <c r="L68" i="1"/>
  <c r="E10" i="1"/>
  <c r="L10" i="1"/>
  <c r="F10" i="1"/>
  <c r="K8" i="1"/>
  <c r="K7" i="1"/>
  <c r="K9" i="1"/>
  <c r="K6" i="1"/>
  <c r="L64" i="1"/>
  <c r="K63" i="1"/>
  <c r="L62" i="1"/>
  <c r="K61" i="1"/>
  <c r="L60" i="1"/>
  <c r="K59" i="1"/>
  <c r="V62" i="1"/>
  <c r="K57" i="1"/>
  <c r="N21" i="1"/>
  <c r="O75" i="1" l="1"/>
  <c r="M75" i="1"/>
  <c r="N75" i="1"/>
  <c r="J21" i="3"/>
  <c r="O29" i="1"/>
  <c r="B36" i="3"/>
  <c r="N29" i="1"/>
  <c r="D44" i="3"/>
  <c r="K82" i="1"/>
  <c r="P68" i="1"/>
  <c r="O68" i="1"/>
  <c r="N68" i="1"/>
  <c r="M68" i="1"/>
  <c r="O64" i="1"/>
  <c r="M64" i="1"/>
  <c r="O62" i="1"/>
  <c r="M62" i="1"/>
  <c r="M60" i="1"/>
  <c r="O60" i="1"/>
  <c r="M58" i="1"/>
  <c r="O58" i="1"/>
  <c r="V68" i="1"/>
  <c r="O63" i="1" s="1"/>
  <c r="M63" i="1"/>
  <c r="K10" i="1"/>
  <c r="N67" i="1"/>
  <c r="M67" i="1"/>
  <c r="O67" i="1"/>
  <c r="K35" i="1"/>
  <c r="M59" i="1"/>
  <c r="K36" i="1"/>
  <c r="O61" i="1"/>
  <c r="M61" i="1"/>
  <c r="N61" i="1"/>
  <c r="N62" i="1" s="1"/>
  <c r="K34" i="1"/>
  <c r="O57" i="1"/>
  <c r="N57" i="1"/>
  <c r="M57" i="1"/>
  <c r="L67" i="1"/>
  <c r="K39" i="1"/>
  <c r="N63" i="1"/>
  <c r="N64" i="1" s="1"/>
  <c r="L61" i="1"/>
  <c r="O59" i="1"/>
  <c r="N59" i="1"/>
  <c r="L59" i="1"/>
  <c r="L57" i="1"/>
  <c r="M73" i="1" l="1"/>
  <c r="O73" i="1"/>
  <c r="N78" i="1"/>
  <c r="B38" i="3"/>
  <c r="J36" i="3"/>
  <c r="J38" i="3" s="1"/>
  <c r="P84" i="1"/>
  <c r="N60" i="1"/>
  <c r="O84" i="1"/>
  <c r="N58" i="1"/>
  <c r="O74" i="1"/>
  <c r="M74" i="1"/>
  <c r="N74" i="1"/>
  <c r="N76" i="1" s="1"/>
  <c r="J40" i="3"/>
  <c r="P67" i="1"/>
  <c r="P73" i="1" s="1"/>
  <c r="N73" i="1" l="1"/>
  <c r="N79" i="1" s="1"/>
  <c r="N85" i="1" s="1"/>
  <c r="K84" i="1"/>
  <c r="N84" i="1"/>
  <c r="B22" i="3"/>
  <c r="P79" i="1"/>
  <c r="Q84" i="1" s="1"/>
  <c r="M76" i="1"/>
  <c r="O76" i="1"/>
  <c r="O79" i="1" s="1"/>
  <c r="B129" i="1" s="1"/>
  <c r="O45" i="1"/>
  <c r="P45" i="1"/>
  <c r="M45" i="1"/>
  <c r="N45" i="1"/>
  <c r="B33" i="3" l="1"/>
  <c r="C22" i="3"/>
  <c r="C33" i="3" s="1"/>
  <c r="P83" i="1"/>
  <c r="Q83" i="1"/>
  <c r="O102" i="1"/>
  <c r="O95" i="1"/>
  <c r="M79" i="1"/>
  <c r="H22" i="3" l="1"/>
  <c r="H33" i="3" s="1"/>
  <c r="N83" i="1"/>
  <c r="O83" i="1"/>
  <c r="B127" i="1"/>
  <c r="K83" i="1" s="1"/>
  <c r="G22" i="3"/>
  <c r="G33" i="3" s="1"/>
  <c r="E22" i="3"/>
  <c r="E33" i="3" s="1"/>
  <c r="D22" i="3"/>
  <c r="D33" i="3" s="1"/>
  <c r="J23" i="3" l="1"/>
  <c r="J22" i="3"/>
  <c r="K86" i="1"/>
  <c r="J33" i="3" l="1"/>
</calcChain>
</file>

<file path=xl/sharedStrings.xml><?xml version="1.0" encoding="utf-8"?>
<sst xmlns="http://schemas.openxmlformats.org/spreadsheetml/2006/main" count="496" uniqueCount="265">
  <si>
    <t>Enter Inputs in Yellow Cells Only</t>
  </si>
  <si>
    <t xml:space="preserve">Medium </t>
  </si>
  <si>
    <t>Large</t>
  </si>
  <si>
    <t xml:space="preserve">Calculations </t>
  </si>
  <si>
    <t xml:space="preserve">Size Application Environment </t>
  </si>
  <si>
    <t>Manage</t>
  </si>
  <si>
    <t>Users</t>
  </si>
  <si>
    <t>Use (Y/N)</t>
  </si>
  <si>
    <t>Quantity</t>
  </si>
  <si>
    <t>Size Metric</t>
  </si>
  <si>
    <t>Monitor</t>
  </si>
  <si>
    <t>i/o points</t>
  </si>
  <si>
    <t>Applications</t>
  </si>
  <si>
    <t>Health</t>
  </si>
  <si>
    <t>Predict</t>
  </si>
  <si>
    <t>Base, Prereq, Misc</t>
  </si>
  <si>
    <t>Function</t>
  </si>
  <si>
    <t>Size</t>
  </si>
  <si>
    <t>VPC</t>
  </si>
  <si>
    <t xml:space="preserve"> VPC</t>
  </si>
  <si>
    <t>Small</t>
  </si>
  <si>
    <t>App Environment Description:</t>
  </si>
  <si>
    <t>Medium</t>
  </si>
  <si>
    <t>Output</t>
  </si>
  <si>
    <t>Envrironment Description</t>
  </si>
  <si>
    <t xml:space="preserve">Base Environment Size </t>
  </si>
  <si>
    <t xml:space="preserve">App Environment Description </t>
  </si>
  <si>
    <t>Dev Environments</t>
  </si>
  <si>
    <t>Environment Footprint</t>
  </si>
  <si>
    <t>Description</t>
  </si>
  <si>
    <t>Application Requirements</t>
  </si>
  <si>
    <t>Data (GB)</t>
  </si>
  <si>
    <t>Manage (Dev Environments)</t>
  </si>
  <si>
    <t>Monitor (Dev Environments)</t>
  </si>
  <si>
    <t>Health (Dev Environments)</t>
  </si>
  <si>
    <t>Predict (Dev Environments)</t>
  </si>
  <si>
    <t>Y</t>
  </si>
  <si>
    <t>N</t>
  </si>
  <si>
    <t>Worker Nodes</t>
  </si>
  <si>
    <t>Temporary Bootstrap Machine</t>
  </si>
  <si>
    <t>Memory</t>
  </si>
  <si>
    <t>Totals</t>
  </si>
  <si>
    <t>GPUs</t>
  </si>
  <si>
    <t>Control Plane Nodes (Master + Infra)</t>
  </si>
  <si>
    <t>Worker / Compute Nodes</t>
  </si>
  <si>
    <r>
      <rPr>
        <sz val="16"/>
        <color theme="1"/>
        <rFont val="Calibri (Body)"/>
      </rPr>
      <t>OpenShift 4.3 + CP4D</t>
    </r>
    <r>
      <rPr>
        <sz val="16"/>
        <color theme="1"/>
        <rFont val="Calibri"/>
        <family val="2"/>
        <scheme val="minor"/>
      </rPr>
      <t xml:space="preserve"> Bare Metal Minimum Installation Requirements</t>
    </r>
  </si>
  <si>
    <t>Visaul Inspection</t>
  </si>
  <si>
    <t>Memory (GB)</t>
  </si>
  <si>
    <t>Storage (GB)</t>
  </si>
  <si>
    <t>Minimum Storage (GBs) per Server</t>
  </si>
  <si>
    <t>Min Memory (GBs) per Server</t>
  </si>
  <si>
    <t>Total Memory</t>
  </si>
  <si>
    <t>Total Storage</t>
  </si>
  <si>
    <t>MVI - Minumum Requirements</t>
  </si>
  <si>
    <t>Servers*</t>
  </si>
  <si>
    <t>Sizing and Quantity Definitions</t>
  </si>
  <si>
    <t>Metric</t>
  </si>
  <si>
    <t>Total VPCs</t>
  </si>
  <si>
    <t>Beyond Large</t>
  </si>
  <si>
    <t>Minimum VPCs per Server</t>
  </si>
  <si>
    <t>Physical Servers</t>
  </si>
  <si>
    <t>Control Plane / Master Nodes</t>
  </si>
  <si>
    <t>VPC Capacity</t>
  </si>
  <si>
    <t>Memory Capacity (GB)</t>
  </si>
  <si>
    <t>Storage Capacity (GB)</t>
  </si>
  <si>
    <t>MVI Nodes</t>
  </si>
  <si>
    <t>Minimum / Development Environments</t>
  </si>
  <si>
    <t>Storage</t>
  </si>
  <si>
    <t>Total Quantities:</t>
  </si>
  <si>
    <t>Visual Inspection</t>
  </si>
  <si>
    <t>Visual Inspection (Dev Environments)</t>
  </si>
  <si>
    <t>(GB)</t>
  </si>
  <si>
    <t>Compute</t>
  </si>
  <si>
    <t xml:space="preserve">Total Application Quantities:  </t>
  </si>
  <si>
    <t>*High Availabiity - Requires Physical Systems for Control Plane (Master) OpenShift Nodes.</t>
  </si>
  <si>
    <t>Assets</t>
  </si>
  <si>
    <t>Primary</t>
  </si>
  <si>
    <t>CPU Count</t>
  </si>
  <si>
    <t>Cores per CPU</t>
  </si>
  <si>
    <t>Seconday (Optional)</t>
  </si>
  <si>
    <t>Memory per VPC</t>
  </si>
  <si>
    <t>Base</t>
  </si>
  <si>
    <t>BASE + PRE-REQ</t>
  </si>
  <si>
    <t>TOTAL VPC</t>
  </si>
  <si>
    <t>OpenShift</t>
  </si>
  <si>
    <t>Worker</t>
  </si>
  <si>
    <t>ICP4D</t>
  </si>
  <si>
    <t>DB2</t>
  </si>
  <si>
    <t>Warehouse</t>
  </si>
  <si>
    <t>MAS</t>
  </si>
  <si>
    <t>Core</t>
  </si>
  <si>
    <t>Watson</t>
  </si>
  <si>
    <t>Studio</t>
  </si>
  <si>
    <t>ML</t>
  </si>
  <si>
    <t>Kafka</t>
  </si>
  <si>
    <t>Streaming</t>
  </si>
  <si>
    <t>VPCs</t>
  </si>
  <si>
    <t>Total Memory (GB)</t>
  </si>
  <si>
    <t>Size Application Environment</t>
  </si>
  <si>
    <t xml:space="preserve"> Dev Env.</t>
  </si>
  <si>
    <t xml:space="preserve"> Subtotal - Required Infrastructue. w/o Dev</t>
  </si>
  <si>
    <t>Each System Configuration</t>
  </si>
  <si>
    <t>Resulting Complete Environment Requirements</t>
  </si>
  <si>
    <t>VPC Bal</t>
  </si>
  <si>
    <t>GPU Bal</t>
  </si>
  <si>
    <t>Infrastructure Requirements</t>
  </si>
  <si>
    <t>Base Requirements VPCs</t>
  </si>
  <si>
    <t>Pre-Reqs VPCs</t>
  </si>
  <si>
    <t>One for All</t>
  </si>
  <si>
    <t>Individual</t>
  </si>
  <si>
    <t xml:space="preserve">Shared </t>
  </si>
  <si>
    <t>W/Manage</t>
  </si>
  <si>
    <t>W/Monitor</t>
  </si>
  <si>
    <t>Output Alerts:</t>
  </si>
  <si>
    <t xml:space="preserve">Maximo Application Suite Base </t>
  </si>
  <si>
    <t>Maximo Application Suite Base (Dev)</t>
  </si>
  <si>
    <t>Maximo Application Suite Base SubTotal</t>
  </si>
  <si>
    <r>
      <t>Users</t>
    </r>
    <r>
      <rPr>
        <vertAlign val="superscript"/>
        <sz val="12"/>
        <color theme="1"/>
        <rFont val="Calibri (Body)"/>
      </rPr>
      <t>1</t>
    </r>
  </si>
  <si>
    <r>
      <t>i/o points</t>
    </r>
    <r>
      <rPr>
        <vertAlign val="superscript"/>
        <sz val="12"/>
        <color theme="1"/>
        <rFont val="Calibri (Body)"/>
      </rPr>
      <t>2</t>
    </r>
  </si>
  <si>
    <t>Xsmall/Min</t>
  </si>
  <si>
    <t>Dev</t>
  </si>
  <si>
    <t>Entered</t>
  </si>
  <si>
    <t>Size Ranges -  Up To:</t>
  </si>
  <si>
    <t>WS/WML</t>
  </si>
  <si>
    <t>Total</t>
  </si>
  <si>
    <t>Application SubTotal</t>
  </si>
  <si>
    <t>Training</t>
  </si>
  <si>
    <t>Number of Groups</t>
  </si>
  <si>
    <t># of Assets per Group</t>
  </si>
  <si>
    <t>Frequency of data collection</t>
  </si>
  <si>
    <t>Frequency of Scoring</t>
  </si>
  <si>
    <t>Records per Day</t>
  </si>
  <si>
    <t># of sensors per asset average</t>
  </si>
  <si>
    <t># of assets</t>
  </si>
  <si>
    <t>Results</t>
  </si>
  <si>
    <t># of Models per Group</t>
  </si>
  <si>
    <t>Times per day</t>
  </si>
  <si>
    <t>Average # of Sensors per Asset</t>
  </si>
  <si>
    <t>Number of lines of data</t>
  </si>
  <si>
    <t>Daily Pre-Aggregation?</t>
  </si>
  <si>
    <t>Years of Retention</t>
  </si>
  <si>
    <t>Mem Bal</t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</si>
  <si>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When calculating with </t>
    </r>
    <r>
      <rPr>
        <b/>
        <sz val="12"/>
        <color theme="1"/>
        <rFont val="Calibri (Body)"/>
      </rPr>
      <t>i/o p</t>
    </r>
    <r>
      <rPr>
        <b/>
        <sz val="12"/>
        <color theme="1"/>
        <rFont val="Calibri"/>
        <family val="2"/>
        <scheme val="minor"/>
      </rPr>
      <t>oints</t>
    </r>
    <r>
      <rPr>
        <sz val="12"/>
        <color theme="1"/>
        <rFont val="Calibri"/>
        <family val="2"/>
        <scheme val="minor"/>
      </rPr>
      <t>, the total is equal to the product of the following three dimensions:
1) Number of devices
2) Number of data points sent in each message
3) Number of messages sent per minute per device</t>
    </r>
  </si>
  <si>
    <r>
      <rPr>
        <vertAlign val="super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Users</t>
    </r>
    <r>
      <rPr>
        <sz val="12"/>
        <color theme="1"/>
        <rFont val="Calibri"/>
        <family val="2"/>
        <scheme val="minor"/>
      </rPr>
      <t xml:space="preserve">:   Users are defined as </t>
    </r>
    <r>
      <rPr>
        <b/>
        <sz val="12"/>
        <color theme="1"/>
        <rFont val="Calibri"/>
        <family val="2"/>
        <scheme val="minor"/>
      </rPr>
      <t>*concurrent*</t>
    </r>
    <r>
      <rPr>
        <sz val="12"/>
        <color theme="1"/>
        <rFont val="Calibri"/>
        <family val="2"/>
        <scheme val="minor"/>
      </rPr>
      <t xml:space="preserve"> users when sizing the infrastructure requirements</t>
    </r>
  </si>
  <si>
    <t>Data points over a 3 year period</t>
  </si>
  <si>
    <r>
      <t>Data Points</t>
    </r>
    <r>
      <rPr>
        <vertAlign val="superscript"/>
        <sz val="12"/>
        <color theme="1"/>
        <rFont val="Calibri (Body)"/>
      </rPr>
      <t>3</t>
    </r>
  </si>
  <si>
    <t>Data Point Calculation</t>
  </si>
  <si>
    <t>Training Data Points</t>
  </si>
  <si>
    <t>MAS Base</t>
  </si>
  <si>
    <t>Predict Data Point Calculator</t>
  </si>
  <si>
    <t>at most from Monitor</t>
  </si>
  <si>
    <t>Scoring Load</t>
  </si>
  <si>
    <t>Rows per minute</t>
  </si>
  <si>
    <t>matters for trainingin only</t>
  </si>
  <si>
    <t>This is found in Monitor</t>
  </si>
  <si>
    <t>24 lines</t>
  </si>
  <si>
    <t>60,000 sensors</t>
  </si>
  <si>
    <t>Training + Scoring Load</t>
  </si>
  <si>
    <t>60,000  sensors driving data</t>
  </si>
  <si>
    <t>each sensor is a line</t>
  </si>
  <si>
    <t>50 models</t>
  </si>
  <si>
    <t>2000 assets</t>
  </si>
  <si>
    <t>each row is an asset</t>
  </si>
  <si>
    <t>Scoring Total per day across all sensors</t>
  </si>
  <si>
    <t>MongoDB</t>
  </si>
  <si>
    <t>Data Points - Training</t>
  </si>
  <si>
    <t>Scoring Load- Scoring</t>
  </si>
  <si>
    <t>Models</t>
  </si>
  <si>
    <t>Asset Groups</t>
  </si>
  <si>
    <t>Assets Per Group</t>
  </si>
  <si>
    <t>Sensors Per Asset</t>
  </si>
  <si>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To calculate Predict Data Points, Use the </t>
    </r>
    <r>
      <rPr>
        <b/>
        <sz val="12"/>
        <color theme="1"/>
        <rFont val="Calibri"/>
        <family val="2"/>
        <scheme val="minor"/>
      </rPr>
      <t>"Predict Data Points"</t>
    </r>
    <r>
      <rPr>
        <sz val="12"/>
        <color theme="1"/>
        <rFont val="Calibri"/>
        <family val="2"/>
        <scheme val="minor"/>
      </rPr>
      <t xml:space="preserve"> tab</t>
    </r>
  </si>
  <si>
    <t>Application</t>
  </si>
  <si>
    <t>TOTALS</t>
  </si>
  <si>
    <t>TOTALS:</t>
  </si>
  <si>
    <t xml:space="preserve">GPUs:  </t>
  </si>
  <si>
    <t>Master Node(s)</t>
  </si>
  <si>
    <t>Total Qty</t>
  </si>
  <si>
    <t>Total GBs</t>
  </si>
  <si>
    <r>
      <rPr>
        <b/>
        <sz val="18"/>
        <color theme="1"/>
        <rFont val="Calibri"/>
        <family val="2"/>
        <scheme val="minor"/>
      </rPr>
      <t>Production</t>
    </r>
    <r>
      <rPr>
        <sz val="18"/>
        <color theme="1"/>
        <rFont val="Calibri"/>
        <family val="2"/>
        <scheme val="minor"/>
      </rPr>
      <t xml:space="preserve"> Environment Calculation Details</t>
    </r>
  </si>
  <si>
    <t>MVI Isolated</t>
  </si>
  <si>
    <t>Mem</t>
  </si>
  <si>
    <t>MAS Core</t>
  </si>
  <si>
    <t>OS Worker</t>
  </si>
  <si>
    <t>Calculated -&gt; Large+Medium=Beyond Large</t>
  </si>
  <si>
    <t>CP4D</t>
  </si>
  <si>
    <t>OS Workers</t>
  </si>
  <si>
    <t>Shared</t>
  </si>
  <si>
    <t>v7_4</t>
  </si>
  <si>
    <t>Version</t>
  </si>
  <si>
    <t>Updates</t>
  </si>
  <si>
    <t>Added MVI Server isolation option</t>
  </si>
  <si>
    <t>Updated data based on latest engineering testing</t>
  </si>
  <si>
    <t>Added Shared Development Environment Options</t>
  </si>
  <si>
    <t>Added separate sheet for Predict Data Points calculation for sizing</t>
  </si>
  <si>
    <t>Added separate sheet for showing detailed report of the allocations</t>
  </si>
  <si>
    <t>v7_5</t>
  </si>
  <si>
    <t>Added Versions sheet to document updates</t>
  </si>
  <si>
    <t>Added option for installing into an existing database environment</t>
  </si>
  <si>
    <t>Updated the storage calculations tied to sharing the database between Health and Manage/Monitor</t>
  </si>
  <si>
    <t>Modified the detailed report to include additional storage information</t>
  </si>
  <si>
    <t>Changed the 'dev env' input description - removed 'additional' to make it clear dev environments are not calculated within the offering configurations</t>
  </si>
  <si>
    <t>Changed the description from 'Enable HA' to "Enforce OpenShift 3 Master + 2 Worker Nodes", to clarify what the flag actually impacts with the calculations</t>
  </si>
  <si>
    <t>Removed the separate MVI Server Calculation by default.  Isolation of separate GPU nodes is now an option.</t>
  </si>
  <si>
    <t xml:space="preserve">Clarified the I/O Point calculation desciption for Monitor </t>
  </si>
  <si>
    <t>Updated calculations to ensure the minimum 2 node OpenShift VPCs, memory and storage is accounted for, but not duplicated when more than 1 offering/application is set to 'Y'.</t>
  </si>
  <si>
    <t>Updated calculations when "install into an existing OpenShift envronment" is set to 'Y', to ensure the minimum requirements for VPCs, Memory, and Storage tied to the 2 required worker nodes is not duplicated</t>
  </si>
  <si>
    <t>Fixed a few calculation bugs tied to Health</t>
  </si>
  <si>
    <t>DB2 + App</t>
  </si>
  <si>
    <t>Updated the storage requirements tied to each offering</t>
  </si>
  <si>
    <t>Updated the storage calculations to include the minumum OpenShift requirement for the 2 worker nodes</t>
  </si>
  <si>
    <t>APPLICATION</t>
  </si>
  <si>
    <t>CORE</t>
  </si>
  <si>
    <t>Configuration Notes:</t>
  </si>
  <si>
    <t xml:space="preserve">Installing into Existing OpenShift? </t>
  </si>
  <si>
    <t xml:space="preserve">Installing with an Existing Database? </t>
  </si>
  <si>
    <t xml:space="preserve">Development Env Configuration? </t>
  </si>
  <si>
    <t xml:space="preserve">Isolate Visual Inspection GPU Nodes? </t>
  </si>
  <si>
    <t xml:space="preserve">Enforce 3 Master + 2 Worker Nodes? </t>
  </si>
  <si>
    <t>Fixed a few calculations tied to development environement when selecting One for All</t>
  </si>
  <si>
    <t>v7_6</t>
  </si>
  <si>
    <t>Added MAS v8.3 Applications:  Safety</t>
  </si>
  <si>
    <t>Assist</t>
  </si>
  <si>
    <t>Safety</t>
  </si>
  <si>
    <t>Documents</t>
  </si>
  <si>
    <t>Workers</t>
  </si>
  <si>
    <t>Discovery</t>
  </si>
  <si>
    <t>CouchDB</t>
  </si>
  <si>
    <t>Base + PreR</t>
  </si>
  <si>
    <t>Watson Discovery</t>
  </si>
  <si>
    <t xml:space="preserve">Total MAS Core &amp; Pre-Req Quantities:  </t>
  </si>
  <si>
    <t>Assist (Dev Environments)</t>
  </si>
  <si>
    <t>Workers Monitored</t>
  </si>
  <si>
    <t>Added MAS v8.3 Applications:  Assist - Including Watson Discovery &amp; CouchDB requirements</t>
  </si>
  <si>
    <t>Updated formatting to include Assist and Safety</t>
  </si>
  <si>
    <t>v7_7</t>
  </si>
  <si>
    <t>Updated Storage Calculation for Maximo Assist</t>
  </si>
  <si>
    <t>v7_8</t>
  </si>
  <si>
    <t>Updated VPC &amp; Memory Calculations for Maximo Assist</t>
  </si>
  <si>
    <t>Adjusted Memory Calculations across all of the applications</t>
  </si>
  <si>
    <t>Minor formatting updates</t>
  </si>
  <si>
    <t>H&amp;P - Utilities</t>
  </si>
  <si>
    <t>H &amp; P - Utilities</t>
  </si>
  <si>
    <t>Asset Classes</t>
  </si>
  <si>
    <t>IBM® Maximo® Application Suite Infrastructure Calculator - v8_0</t>
  </si>
  <si>
    <t>Health &amp; Predict - Utilities</t>
  </si>
  <si>
    <t>n/a</t>
  </si>
  <si>
    <t>System Quantity</t>
  </si>
  <si>
    <t>TOTAL SYSTEM REQUIREMENTS</t>
  </si>
  <si>
    <t>Application Storage</t>
  </si>
  <si>
    <t>TOTAL GB Storage Required</t>
  </si>
  <si>
    <t>v8_0</t>
  </si>
  <si>
    <t>Added Health &amp; Predict - Utilities Requirements to the V8 Calculator Tab</t>
  </si>
  <si>
    <t>Added Health &amp; Predict - Utilities Requirements to the Detailed Report Tab</t>
  </si>
  <si>
    <t>Updated the colors for better defining 'TOTAL SYSTEM REQUIREMENTS' versus the individual system requirements.</t>
  </si>
  <si>
    <t>Created the dependency of "Health" for "Health &amp; Predict Utilities"</t>
  </si>
  <si>
    <t>Ensured "Health &amp; Predict - Utilities" did not double count WS/WL when "Predict" is also selected</t>
  </si>
  <si>
    <t>Removed the "Share Health DB with Monitor/Manage" - No longer needed</t>
  </si>
  <si>
    <t>IOT Table</t>
  </si>
  <si>
    <t>MEM</t>
  </si>
  <si>
    <t>Med</t>
  </si>
  <si>
    <t>X Small</t>
  </si>
  <si>
    <t>Updated Safety to include CP4D requirements and IOT requirements.</t>
  </si>
  <si>
    <t>Updated Safety - If Monitor is also selected, removes the IOT requirements</t>
  </si>
  <si>
    <t>Made adjustments to source numbers based on latest update from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</si>
</sst>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0_);_(&quot;$&quot;* \(#,##0.0000\);_(&quot;$&quot;* &quot;-&quot;??_);_(@_)"/>
    <numFmt numFmtId="167" formatCode="_(* #,##0.0_);_(* \(#,##0.0\);_(* &quot;-&quot;??_);_(@_)"/>
    <numFmt numFmtId="168" formatCode="_-&quot;£&quot;* #,##0_-;\-&quot;£&quot;* #,##0_-;_-&quot;£&quot;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color theme="1"/>
      <name val="Calibri (Body)"/>
    </font>
    <font>
      <sz val="10"/>
      <color theme="1"/>
      <name val="Calibri"/>
      <family val="2"/>
      <scheme val="minor"/>
    </font>
    <font>
      <b/>
      <sz val="12"/>
      <color theme="1"/>
      <name val="Calibri (Body)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F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4">
    <xf numFmtId="0" fontId="0" fillId="0" borderId="0" xfId="0"/>
    <xf numFmtId="164" fontId="0" fillId="2" borderId="20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8" borderId="1" xfId="0" applyFont="1" applyFill="1" applyBorder="1" applyAlignment="1" applyProtection="1"/>
    <xf numFmtId="0" fontId="8" fillId="8" borderId="2" xfId="0" applyFont="1" applyFill="1" applyBorder="1" applyAlignment="1" applyProtection="1"/>
    <xf numFmtId="0" fontId="8" fillId="8" borderId="3" xfId="0" applyFont="1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0" fontId="0" fillId="0" borderId="5" xfId="0" applyFill="1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10" borderId="4" xfId="0" applyFill="1" applyBorder="1" applyProtection="1"/>
    <xf numFmtId="0" fontId="0" fillId="10" borderId="5" xfId="0" applyFill="1" applyBorder="1" applyProtection="1"/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5" xfId="0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21" xfId="0" applyBorder="1" applyProtection="1"/>
    <xf numFmtId="0" fontId="0" fillId="0" borderId="33" xfId="0" applyFill="1" applyBorder="1" applyProtection="1"/>
    <xf numFmtId="0" fontId="0" fillId="0" borderId="19" xfId="0" applyBorder="1" applyProtection="1"/>
    <xf numFmtId="0" fontId="0" fillId="0" borderId="33" xfId="0" applyBorder="1" applyProtection="1"/>
    <xf numFmtId="0" fontId="0" fillId="0" borderId="26" xfId="0" applyFill="1" applyBorder="1" applyProtection="1"/>
    <xf numFmtId="0" fontId="0" fillId="0" borderId="29" xfId="0" applyBorder="1" applyProtection="1"/>
    <xf numFmtId="0" fontId="0" fillId="0" borderId="30" xfId="0" applyFill="1" applyBorder="1" applyProtection="1"/>
    <xf numFmtId="0" fontId="0" fillId="0" borderId="14" xfId="0" applyBorder="1" applyProtection="1"/>
    <xf numFmtId="0" fontId="0" fillId="0" borderId="29" xfId="0" applyBorder="1" applyAlignment="1" applyProtection="1">
      <alignment horizontal="center"/>
    </xf>
    <xf numFmtId="0" fontId="0" fillId="0" borderId="30" xfId="0" applyBorder="1" applyProtection="1"/>
    <xf numFmtId="0" fontId="0" fillId="9" borderId="21" xfId="0" applyFill="1" applyBorder="1" applyProtection="1"/>
    <xf numFmtId="0" fontId="0" fillId="9" borderId="0" xfId="0" applyFill="1" applyBorder="1" applyProtection="1"/>
    <xf numFmtId="0" fontId="0" fillId="9" borderId="33" xfId="0" applyFill="1" applyBorder="1" applyProtection="1"/>
    <xf numFmtId="0" fontId="0" fillId="0" borderId="0" xfId="0" applyFill="1" applyBorder="1" applyAlignment="1" applyProtection="1">
      <alignment horizontal="center" vertical="top"/>
    </xf>
    <xf numFmtId="0" fontId="0" fillId="0" borderId="43" xfId="0" applyBorder="1" applyProtection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0" xfId="0" applyFont="1" applyBorder="1" applyAlignment="1" applyProtection="1"/>
    <xf numFmtId="0" fontId="0" fillId="10" borderId="6" xfId="0" applyFont="1" applyFill="1" applyBorder="1" applyProtection="1"/>
    <xf numFmtId="0" fontId="0" fillId="10" borderId="0" xfId="0" applyFill="1" applyBorder="1" applyAlignment="1" applyProtection="1">
      <alignment horizontal="center"/>
    </xf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0" xfId="0" applyFont="1" applyBorder="1" applyAlignment="1" applyProtection="1"/>
    <xf numFmtId="0" fontId="0" fillId="10" borderId="33" xfId="0" applyFont="1" applyFill="1" applyBorder="1" applyProtection="1"/>
    <xf numFmtId="0" fontId="0" fillId="10" borderId="14" xfId="0" applyFill="1" applyBorder="1" applyProtection="1"/>
    <xf numFmtId="0" fontId="5" fillId="0" borderId="43" xfId="0" applyFont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5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0" xfId="0" applyFont="1" applyBorder="1" applyProtection="1"/>
    <xf numFmtId="0" fontId="0" fillId="0" borderId="48" xfId="0" applyBorder="1" applyAlignment="1" applyProtection="1">
      <alignment horizontal="center" vertical="top"/>
    </xf>
    <xf numFmtId="0" fontId="0" fillId="0" borderId="47" xfId="0" applyBorder="1" applyAlignment="1" applyProtection="1">
      <alignment horizontal="center" vertical="top"/>
    </xf>
    <xf numFmtId="0" fontId="0" fillId="0" borderId="45" xfId="0" applyBorder="1" applyAlignment="1" applyProtection="1">
      <alignment horizontal="center" vertical="top"/>
    </xf>
    <xf numFmtId="0" fontId="0" fillId="0" borderId="17" xfId="0" applyFill="1" applyBorder="1" applyAlignment="1" applyProtection="1">
      <alignment horizontal="center" vertical="top"/>
    </xf>
    <xf numFmtId="0" fontId="0" fillId="0" borderId="31" xfId="0" applyBorder="1" applyAlignment="1" applyProtection="1">
      <alignment horizontal="center" vertical="top"/>
    </xf>
    <xf numFmtId="0" fontId="0" fillId="0" borderId="2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0" fillId="0" borderId="32" xfId="0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/>
    </xf>
    <xf numFmtId="0" fontId="5" fillId="0" borderId="26" xfId="0" applyFont="1" applyBorder="1" applyProtection="1"/>
    <xf numFmtId="0" fontId="0" fillId="0" borderId="11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10" borderId="30" xfId="0" applyFont="1" applyFill="1" applyBorder="1" applyProtection="1"/>
    <xf numFmtId="165" fontId="0" fillId="0" borderId="0" xfId="0" applyNumberFormat="1" applyFont="1" applyProtection="1"/>
    <xf numFmtId="0" fontId="5" fillId="0" borderId="48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5" borderId="46" xfId="0" applyFont="1" applyFill="1" applyBorder="1" applyAlignment="1" applyProtection="1">
      <alignment horizontal="center" wrapText="1"/>
    </xf>
    <xf numFmtId="0" fontId="2" fillId="5" borderId="47" xfId="0" applyFont="1" applyFill="1" applyBorder="1" applyAlignment="1" applyProtection="1">
      <alignment horizontal="center" wrapText="1"/>
    </xf>
    <xf numFmtId="0" fontId="2" fillId="5" borderId="49" xfId="0" applyFont="1" applyFill="1" applyBorder="1" applyAlignment="1" applyProtection="1">
      <alignment horizontal="center" wrapText="1"/>
    </xf>
    <xf numFmtId="165" fontId="0" fillId="0" borderId="0" xfId="0" applyNumberFormat="1" applyProtection="1"/>
    <xf numFmtId="0" fontId="5" fillId="0" borderId="0" xfId="0" applyFont="1" applyAlignment="1" applyProtection="1">
      <alignment wrapText="1"/>
    </xf>
    <xf numFmtId="165" fontId="1" fillId="0" borderId="0" xfId="0" applyNumberFormat="1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8" xfId="1" applyNumberFormat="1" applyFont="1" applyFill="1" applyBorder="1" applyAlignment="1" applyProtection="1">
      <alignment horizontal="center"/>
    </xf>
    <xf numFmtId="0" fontId="0" fillId="0" borderId="8" xfId="1" applyNumberFormat="1" applyFont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wrapText="1"/>
    </xf>
    <xf numFmtId="0" fontId="1" fillId="6" borderId="41" xfId="0" applyFont="1" applyFill="1" applyBorder="1" applyAlignment="1" applyProtection="1"/>
    <xf numFmtId="0" fontId="1" fillId="6" borderId="42" xfId="0" applyFont="1" applyFill="1" applyBorder="1" applyAlignment="1" applyProtection="1"/>
    <xf numFmtId="0" fontId="0" fillId="0" borderId="8" xfId="0" applyFill="1" applyBorder="1" applyAlignment="1" applyProtection="1">
      <alignment horizontal="center"/>
    </xf>
    <xf numFmtId="0" fontId="0" fillId="6" borderId="31" xfId="0" applyFill="1" applyBorder="1" applyAlignment="1" applyProtection="1"/>
    <xf numFmtId="0" fontId="0" fillId="6" borderId="56" xfId="0" applyFill="1" applyBorder="1" applyAlignment="1" applyProtection="1"/>
    <xf numFmtId="0" fontId="0" fillId="0" borderId="0" xfId="0" applyAlignment="1" applyProtection="1"/>
    <xf numFmtId="166" fontId="4" fillId="7" borderId="17" xfId="0" applyNumberFormat="1" applyFont="1" applyFill="1" applyBorder="1" applyAlignment="1" applyProtection="1"/>
    <xf numFmtId="166" fontId="4" fillId="7" borderId="17" xfId="0" applyNumberFormat="1" applyFont="1" applyFill="1" applyBorder="1" applyAlignment="1" applyProtection="1">
      <alignment horizontal="center"/>
    </xf>
    <xf numFmtId="166" fontId="4" fillId="7" borderId="20" xfId="0" applyNumberFormat="1" applyFont="1" applyFill="1" applyBorder="1" applyAlignment="1" applyProtection="1">
      <alignment horizontal="center"/>
    </xf>
    <xf numFmtId="166" fontId="4" fillId="7" borderId="20" xfId="0" applyNumberFormat="1" applyFont="1" applyFill="1" applyBorder="1" applyAlignment="1" applyProtection="1"/>
    <xf numFmtId="166" fontId="4" fillId="7" borderId="49" xfId="0" applyNumberFormat="1" applyFont="1" applyFill="1" applyBorder="1" applyAlignment="1" applyProtection="1"/>
    <xf numFmtId="164" fontId="2" fillId="0" borderId="37" xfId="1" applyNumberFormat="1" applyFont="1" applyFill="1" applyBorder="1" applyAlignment="1" applyProtection="1"/>
    <xf numFmtId="0" fontId="0" fillId="10" borderId="72" xfId="0" applyFont="1" applyFill="1" applyBorder="1" applyAlignment="1" applyProtection="1"/>
    <xf numFmtId="44" fontId="2" fillId="0" borderId="16" xfId="0" applyNumberFormat="1" applyFont="1" applyBorder="1" applyAlignment="1" applyProtection="1">
      <alignment horizontal="right"/>
    </xf>
    <xf numFmtId="0" fontId="0" fillId="10" borderId="73" xfId="0" applyFont="1" applyFill="1" applyBorder="1" applyAlignment="1" applyProtection="1"/>
    <xf numFmtId="44" fontId="0" fillId="0" borderId="23" xfId="0" applyNumberFormat="1" applyFont="1" applyBorder="1" applyAlignment="1" applyProtection="1">
      <alignment horizontal="right"/>
    </xf>
    <xf numFmtId="0" fontId="0" fillId="10" borderId="74" xfId="0" applyFont="1" applyFill="1" applyBorder="1" applyAlignment="1" applyProtection="1"/>
    <xf numFmtId="44" fontId="2" fillId="6" borderId="11" xfId="0" applyNumberFormat="1" applyFont="1" applyFill="1" applyBorder="1" applyAlignment="1" applyProtection="1">
      <alignment horizontal="right"/>
    </xf>
    <xf numFmtId="164" fontId="0" fillId="6" borderId="13" xfId="1" applyNumberFormat="1" applyFont="1" applyFill="1" applyBorder="1" applyAlignment="1" applyProtection="1"/>
    <xf numFmtId="0" fontId="0" fillId="0" borderId="7" xfId="0" applyBorder="1" applyProtection="1"/>
    <xf numFmtId="44" fontId="2" fillId="0" borderId="46" xfId="0" applyNumberFormat="1" applyFont="1" applyFill="1" applyBorder="1" applyAlignment="1" applyProtection="1">
      <alignment horizontal="right"/>
    </xf>
    <xf numFmtId="44" fontId="0" fillId="0" borderId="34" xfId="0" applyNumberFormat="1" applyFont="1" applyFill="1" applyBorder="1" applyAlignment="1" applyProtection="1">
      <alignment horizontal="right"/>
    </xf>
    <xf numFmtId="44" fontId="0" fillId="0" borderId="55" xfId="0" applyNumberFormat="1" applyFont="1" applyBorder="1" applyAlignment="1" applyProtection="1">
      <alignment horizontal="right"/>
    </xf>
    <xf numFmtId="44" fontId="2" fillId="12" borderId="11" xfId="0" applyNumberFormat="1" applyFont="1" applyFill="1" applyBorder="1" applyAlignment="1" applyProtection="1">
      <alignment horizontal="right"/>
    </xf>
    <xf numFmtId="164" fontId="2" fillId="12" borderId="13" xfId="1" applyNumberFormat="1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left"/>
    </xf>
    <xf numFmtId="44" fontId="4" fillId="6" borderId="0" xfId="0" applyNumberFormat="1" applyFont="1" applyFill="1" applyBorder="1" applyAlignment="1" applyProtection="1"/>
    <xf numFmtId="44" fontId="4" fillId="6" borderId="33" xfId="0" applyNumberFormat="1" applyFont="1" applyFill="1" applyBorder="1" applyAlignment="1" applyProtection="1"/>
    <xf numFmtId="0" fontId="0" fillId="10" borderId="4" xfId="0" applyFill="1" applyBorder="1" applyAlignment="1" applyProtection="1">
      <alignment horizontal="center"/>
    </xf>
    <xf numFmtId="0" fontId="0" fillId="10" borderId="75" xfId="0" applyFill="1" applyBorder="1" applyAlignment="1" applyProtection="1">
      <alignment horizontal="center"/>
    </xf>
    <xf numFmtId="0" fontId="0" fillId="10" borderId="6" xfId="0" applyFill="1" applyBorder="1" applyAlignment="1" applyProtection="1">
      <alignment horizontal="center"/>
    </xf>
    <xf numFmtId="0" fontId="0" fillId="10" borderId="76" xfId="0" applyFill="1" applyBorder="1" applyAlignment="1" applyProtection="1"/>
    <xf numFmtId="0" fontId="0" fillId="10" borderId="79" xfId="0" applyFill="1" applyBorder="1" applyProtection="1"/>
    <xf numFmtId="0" fontId="0" fillId="10" borderId="77" xfId="0" applyFill="1" applyBorder="1" applyProtection="1"/>
    <xf numFmtId="164" fontId="0" fillId="2" borderId="66" xfId="0" applyNumberFormat="1" applyFill="1" applyBorder="1" applyAlignment="1" applyProtection="1">
      <alignment horizontal="center"/>
      <protection locked="0"/>
    </xf>
    <xf numFmtId="164" fontId="0" fillId="2" borderId="64" xfId="0" applyNumberFormat="1" applyFill="1" applyBorder="1" applyAlignment="1" applyProtection="1">
      <alignment horizontal="center"/>
      <protection locked="0"/>
    </xf>
    <xf numFmtId="164" fontId="0" fillId="2" borderId="67" xfId="0" applyNumberForma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3" xfId="0" applyFont="1" applyBorder="1" applyAlignment="1" applyProtection="1">
      <alignment horizontal="right"/>
    </xf>
    <xf numFmtId="0" fontId="0" fillId="10" borderId="82" xfId="0" applyFill="1" applyBorder="1" applyAlignment="1" applyProtection="1"/>
    <xf numFmtId="0" fontId="0" fillId="10" borderId="83" xfId="0" applyFill="1" applyBorder="1" applyProtection="1"/>
    <xf numFmtId="0" fontId="0" fillId="10" borderId="84" xfId="0" applyFill="1" applyBorder="1" applyProtection="1"/>
    <xf numFmtId="0" fontId="2" fillId="6" borderId="40" xfId="0" applyFont="1" applyFill="1" applyBorder="1" applyProtection="1"/>
    <xf numFmtId="0" fontId="2" fillId="6" borderId="58" xfId="0" applyFont="1" applyFill="1" applyBorder="1" applyProtection="1"/>
    <xf numFmtId="0" fontId="2" fillId="0" borderId="5" xfId="0" applyFont="1" applyBorder="1" applyAlignment="1" applyProtection="1">
      <alignment vertical="center"/>
    </xf>
    <xf numFmtId="0" fontId="2" fillId="6" borderId="54" xfId="0" applyFont="1" applyFill="1" applyBorder="1" applyAlignment="1" applyProtection="1">
      <alignment vertical="center"/>
    </xf>
    <xf numFmtId="0" fontId="5" fillId="0" borderId="0" xfId="0" applyFont="1"/>
    <xf numFmtId="168" fontId="0" fillId="0" borderId="0" xfId="0" applyNumberFormat="1"/>
    <xf numFmtId="164" fontId="0" fillId="0" borderId="0" xfId="0" applyNumberFormat="1" applyProtection="1"/>
    <xf numFmtId="164" fontId="0" fillId="0" borderId="59" xfId="1" applyNumberFormat="1" applyFont="1" applyFill="1" applyBorder="1" applyAlignment="1" applyProtection="1">
      <alignment horizontal="center"/>
    </xf>
    <xf numFmtId="0" fontId="0" fillId="14" borderId="20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0" fontId="0" fillId="0" borderId="45" xfId="0" applyFill="1" applyBorder="1" applyAlignment="1" applyProtection="1">
      <alignment horizontal="center" vertical="top"/>
    </xf>
    <xf numFmtId="0" fontId="0" fillId="0" borderId="28" xfId="0" applyFill="1" applyBorder="1" applyAlignment="1" applyProtection="1">
      <alignment horizontal="center" vertical="top"/>
    </xf>
    <xf numFmtId="0" fontId="5" fillId="0" borderId="91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0" fillId="0" borderId="0" xfId="0" applyBorder="1"/>
    <xf numFmtId="0" fontId="5" fillId="0" borderId="43" xfId="0" applyFont="1" applyBorder="1" applyAlignment="1" applyProtection="1">
      <alignment horizontal="center" vertical="center"/>
    </xf>
    <xf numFmtId="0" fontId="0" fillId="10" borderId="0" xfId="0" applyFill="1" applyBorder="1" applyProtection="1"/>
    <xf numFmtId="0" fontId="10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0" fillId="14" borderId="65" xfId="0" applyFill="1" applyBorder="1" applyProtection="1"/>
    <xf numFmtId="0" fontId="0" fillId="14" borderId="16" xfId="0" applyFill="1" applyBorder="1" applyAlignment="1" applyProtection="1">
      <alignment horizontal="center"/>
    </xf>
    <xf numFmtId="0" fontId="0" fillId="14" borderId="17" xfId="0" applyFill="1" applyBorder="1" applyProtection="1"/>
    <xf numFmtId="0" fontId="0" fillId="14" borderId="20" xfId="0" applyFill="1" applyBorder="1" applyAlignment="1" applyProtection="1">
      <alignment horizontal="center"/>
    </xf>
    <xf numFmtId="0" fontId="0" fillId="14" borderId="16" xfId="0" applyFill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14" borderId="18" xfId="0" applyFill="1" applyBorder="1" applyProtection="1"/>
    <xf numFmtId="0" fontId="0" fillId="0" borderId="22" xfId="0" applyBorder="1" applyProtection="1"/>
    <xf numFmtId="0" fontId="0" fillId="0" borderId="27" xfId="0" applyBorder="1" applyProtection="1"/>
    <xf numFmtId="0" fontId="5" fillId="0" borderId="1" xfId="0" applyFont="1" applyBorder="1" applyAlignment="1" applyProtection="1">
      <alignment horizontal="center" vertical="center"/>
    </xf>
    <xf numFmtId="0" fontId="0" fillId="14" borderId="17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9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13" borderId="86" xfId="0" applyFill="1" applyBorder="1" applyAlignment="1" applyProtection="1"/>
    <xf numFmtId="0" fontId="0" fillId="13" borderId="87" xfId="0" applyFill="1" applyBorder="1" applyAlignment="1" applyProtection="1"/>
    <xf numFmtId="0" fontId="0" fillId="10" borderId="10" xfId="0" applyFont="1" applyFill="1" applyBorder="1" applyAlignment="1" applyProtection="1"/>
    <xf numFmtId="0" fontId="0" fillId="10" borderId="21" xfId="0" applyFont="1" applyFill="1" applyBorder="1" applyAlignment="1" applyProtection="1"/>
    <xf numFmtId="164" fontId="0" fillId="0" borderId="44" xfId="1" applyNumberFormat="1" applyFont="1" applyFill="1" applyBorder="1" applyAlignment="1" applyProtection="1">
      <alignment horizont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40" xfId="0" applyBorder="1"/>
    <xf numFmtId="0" fontId="0" fillId="0" borderId="54" xfId="0" applyBorder="1"/>
    <xf numFmtId="0" fontId="0" fillId="0" borderId="58" xfId="0" applyBorder="1"/>
    <xf numFmtId="0" fontId="0" fillId="0" borderId="42" xfId="0" applyBorder="1"/>
    <xf numFmtId="0" fontId="0" fillId="0" borderId="70" xfId="0" applyBorder="1"/>
    <xf numFmtId="0" fontId="0" fillId="0" borderId="56" xfId="0" applyBorder="1"/>
    <xf numFmtId="0" fontId="0" fillId="2" borderId="65" xfId="0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66" xfId="0" applyFill="1" applyBorder="1" applyAlignment="1" applyProtection="1">
      <alignment horizontal="right"/>
      <protection locked="0"/>
    </xf>
    <xf numFmtId="0" fontId="0" fillId="6" borderId="0" xfId="0" applyFill="1"/>
    <xf numFmtId="164" fontId="0" fillId="0" borderId="8" xfId="1" applyNumberFormat="1" applyFont="1" applyBorder="1" applyAlignment="1" applyProtection="1">
      <alignment horizontal="center"/>
    </xf>
    <xf numFmtId="164" fontId="0" fillId="0" borderId="8" xfId="1" applyNumberFormat="1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0" fillId="0" borderId="66" xfId="0" applyFill="1" applyBorder="1"/>
    <xf numFmtId="0" fontId="0" fillId="0" borderId="11" xfId="0" applyBorder="1"/>
    <xf numFmtId="0" fontId="0" fillId="0" borderId="15" xfId="0" applyBorder="1"/>
    <xf numFmtId="0" fontId="0" fillId="0" borderId="46" xfId="0" applyBorder="1"/>
    <xf numFmtId="0" fontId="0" fillId="0" borderId="49" xfId="0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0" fillId="15" borderId="66" xfId="0" applyFill="1" applyBorder="1" applyAlignment="1" applyProtection="1">
      <alignment horizontal="right"/>
    </xf>
    <xf numFmtId="0" fontId="15" fillId="19" borderId="1" xfId="0" applyFont="1" applyFill="1" applyBorder="1" applyAlignment="1">
      <alignment horizontal="center"/>
    </xf>
    <xf numFmtId="0" fontId="15" fillId="19" borderId="43" xfId="0" applyFont="1" applyFill="1" applyBorder="1" applyAlignment="1">
      <alignment horizontal="center"/>
    </xf>
    <xf numFmtId="0" fontId="15" fillId="20" borderId="2" xfId="0" applyFont="1" applyFill="1" applyBorder="1" applyAlignment="1"/>
    <xf numFmtId="164" fontId="0" fillId="2" borderId="25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14" fillId="0" borderId="0" xfId="0" applyFont="1"/>
    <xf numFmtId="0" fontId="14" fillId="0" borderId="0" xfId="0" applyFont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5" fillId="19" borderId="26" xfId="0" applyFont="1" applyFill="1" applyBorder="1" applyAlignment="1">
      <alignment horizontal="center"/>
    </xf>
    <xf numFmtId="0" fontId="15" fillId="19" borderId="21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vertical="top"/>
    </xf>
    <xf numFmtId="0" fontId="0" fillId="0" borderId="96" xfId="0" applyFill="1" applyBorder="1" applyAlignment="1" applyProtection="1">
      <alignment horizontal="center" vertical="top"/>
    </xf>
    <xf numFmtId="0" fontId="0" fillId="0" borderId="58" xfId="0" applyBorder="1" applyAlignment="1" applyProtection="1">
      <alignment horizontal="center" vertical="top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9" xfId="0" applyBorder="1" applyProtection="1">
      <protection hidden="1"/>
    </xf>
    <xf numFmtId="0" fontId="0" fillId="9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7" borderId="66" xfId="0" applyFont="1" applyFill="1" applyBorder="1" applyAlignment="1" applyProtection="1">
      <alignment horizontal="center"/>
      <protection hidden="1"/>
    </xf>
    <xf numFmtId="0" fontId="2" fillId="4" borderId="43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4" fontId="0" fillId="0" borderId="8" xfId="1" applyNumberFormat="1" applyFont="1" applyBorder="1" applyAlignment="1" applyProtection="1">
      <alignment horizontal="center"/>
      <protection hidden="1"/>
    </xf>
    <xf numFmtId="0" fontId="0" fillId="3" borderId="20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  <xf numFmtId="0" fontId="0" fillId="3" borderId="51" xfId="0" applyFont="1" applyFill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 vertical="top"/>
      <protection hidden="1"/>
    </xf>
    <xf numFmtId="0" fontId="0" fillId="0" borderId="20" xfId="0" applyFill="1" applyBorder="1" applyAlignment="1" applyProtection="1">
      <alignment horizontal="center" vertical="top"/>
      <protection hidden="1"/>
    </xf>
    <xf numFmtId="0" fontId="0" fillId="0" borderId="88" xfId="0" applyFill="1" applyBorder="1" applyAlignment="1" applyProtection="1">
      <alignment horizontal="center" vertical="top"/>
      <protection hidden="1"/>
    </xf>
    <xf numFmtId="164" fontId="0" fillId="0" borderId="9" xfId="1" applyNumberFormat="1" applyFont="1" applyBorder="1" applyProtection="1">
      <protection hidden="1"/>
    </xf>
    <xf numFmtId="0" fontId="0" fillId="0" borderId="56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 vertical="top"/>
      <protection hidden="1"/>
    </xf>
    <xf numFmtId="0" fontId="0" fillId="0" borderId="7" xfId="0" applyBorder="1" applyProtection="1">
      <protection hidden="1"/>
    </xf>
    <xf numFmtId="0" fontId="0" fillId="0" borderId="9" xfId="0" applyFont="1" applyFill="1" applyBorder="1" applyAlignment="1" applyProtection="1">
      <alignment horizontal="center" wrapTex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0" fillId="0" borderId="23" xfId="0" applyBorder="1" applyProtection="1">
      <protection hidden="1"/>
    </xf>
    <xf numFmtId="44" fontId="2" fillId="0" borderId="16" xfId="0" applyNumberFormat="1" applyFont="1" applyBorder="1" applyAlignment="1" applyProtection="1">
      <alignment horizontal="right"/>
      <protection hidden="1"/>
    </xf>
    <xf numFmtId="164" fontId="0" fillId="0" borderId="17" xfId="1" applyNumberFormat="1" applyFont="1" applyFill="1" applyBorder="1" applyAlignment="1" applyProtection="1">
      <protection hidden="1"/>
    </xf>
    <xf numFmtId="164" fontId="0" fillId="0" borderId="17" xfId="1" applyNumberFormat="1" applyFont="1" applyFill="1" applyBorder="1" applyProtection="1">
      <protection hidden="1"/>
    </xf>
    <xf numFmtId="164" fontId="0" fillId="0" borderId="59" xfId="1" applyNumberFormat="1" applyFont="1" applyFill="1" applyBorder="1" applyAlignment="1" applyProtection="1">
      <protection hidden="1"/>
    </xf>
    <xf numFmtId="164" fontId="0" fillId="0" borderId="24" xfId="1" applyNumberFormat="1" applyFont="1" applyFill="1" applyBorder="1" applyAlignment="1" applyProtection="1">
      <alignment horizontal="center"/>
      <protection hidden="1"/>
    </xf>
    <xf numFmtId="164" fontId="0" fillId="0" borderId="27" xfId="1" applyNumberFormat="1" applyFont="1" applyFill="1" applyBorder="1" applyAlignment="1" applyProtection="1">
      <protection hidden="1"/>
    </xf>
    <xf numFmtId="164" fontId="0" fillId="0" borderId="18" xfId="1" applyNumberFormat="1" applyFont="1" applyFill="1" applyBorder="1" applyAlignment="1" applyProtection="1">
      <protection hidden="1"/>
    </xf>
    <xf numFmtId="0" fontId="0" fillId="0" borderId="8" xfId="1" applyNumberFormat="1" applyFon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164" fontId="0" fillId="0" borderId="71" xfId="1" applyNumberFormat="1" applyFont="1" applyFill="1" applyBorder="1" applyAlignment="1" applyProtection="1">
      <protection hidden="1"/>
    </xf>
    <xf numFmtId="164" fontId="0" fillId="0" borderId="24" xfId="1" applyNumberFormat="1" applyFont="1" applyFill="1" applyBorder="1" applyAlignment="1" applyProtection="1">
      <protection hidden="1"/>
    </xf>
    <xf numFmtId="164" fontId="0" fillId="0" borderId="25" xfId="1" applyNumberFormat="1" applyFont="1" applyFill="1" applyBorder="1" applyAlignment="1" applyProtection="1">
      <protection hidden="1"/>
    </xf>
    <xf numFmtId="164" fontId="0" fillId="6" borderId="78" xfId="1" applyNumberFormat="1" applyFont="1" applyFill="1" applyBorder="1" applyAlignment="1" applyProtection="1">
      <protection hidden="1"/>
    </xf>
    <xf numFmtId="164" fontId="0" fillId="6" borderId="28" xfId="1" applyNumberFormat="1" applyFont="1" applyFill="1" applyBorder="1" applyAlignment="1" applyProtection="1">
      <protection hidden="1"/>
    </xf>
    <xf numFmtId="164" fontId="0" fillId="6" borderId="6" xfId="1" applyNumberFormat="1" applyFont="1" applyFill="1" applyBorder="1" applyAlignment="1" applyProtection="1">
      <protection hidden="1"/>
    </xf>
    <xf numFmtId="164" fontId="0" fillId="0" borderId="18" xfId="1" applyNumberFormat="1" applyFont="1" applyFill="1" applyBorder="1" applyAlignment="1" applyProtection="1">
      <alignment horizontal="center"/>
      <protection hidden="1"/>
    </xf>
    <xf numFmtId="164" fontId="0" fillId="0" borderId="27" xfId="1" applyNumberFormat="1" applyFont="1" applyFill="1" applyBorder="1" applyAlignment="1" applyProtection="1">
      <alignment horizontal="left" vertical="center"/>
      <protection hidden="1"/>
    </xf>
    <xf numFmtId="164" fontId="0" fillId="0" borderId="80" xfId="1" applyNumberFormat="1" applyFont="1" applyFill="1" applyBorder="1" applyAlignment="1" applyProtection="1">
      <alignment horizontal="center"/>
      <protection hidden="1"/>
    </xf>
    <xf numFmtId="164" fontId="0" fillId="0" borderId="47" xfId="1" applyNumberFormat="1" applyFont="1" applyFill="1" applyBorder="1" applyProtection="1">
      <protection hidden="1"/>
    </xf>
    <xf numFmtId="164" fontId="0" fillId="0" borderId="5" xfId="1" applyNumberFormat="1" applyFont="1" applyFill="1" applyBorder="1" applyAlignment="1" applyProtection="1">
      <protection hidden="1"/>
    </xf>
    <xf numFmtId="164" fontId="0" fillId="0" borderId="44" xfId="1" applyNumberFormat="1" applyFont="1" applyFill="1" applyBorder="1" applyAlignment="1" applyProtection="1">
      <alignment horizontal="center"/>
      <protection hidden="1"/>
    </xf>
    <xf numFmtId="164" fontId="0" fillId="0" borderId="37" xfId="1" applyNumberFormat="1" applyFont="1" applyFill="1" applyBorder="1" applyAlignment="1" applyProtection="1">
      <alignment horizontal="center"/>
      <protection hidden="1"/>
    </xf>
    <xf numFmtId="164" fontId="2" fillId="12" borderId="78" xfId="1" applyNumberFormat="1" applyFont="1" applyFill="1" applyBorder="1" applyAlignment="1" applyProtection="1">
      <alignment horizontal="center"/>
      <protection hidden="1"/>
    </xf>
    <xf numFmtId="164" fontId="2" fillId="12" borderId="93" xfId="1" applyNumberFormat="1" applyFont="1" applyFill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11" borderId="82" xfId="0" applyFill="1" applyBorder="1" applyAlignment="1" applyProtection="1">
      <protection hidden="1"/>
    </xf>
    <xf numFmtId="0" fontId="0" fillId="11" borderId="83" xfId="0" applyFill="1" applyBorder="1" applyProtection="1">
      <protection hidden="1"/>
    </xf>
    <xf numFmtId="0" fontId="0" fillId="11" borderId="84" xfId="0" applyFill="1" applyBorder="1" applyProtection="1">
      <protection hidden="1"/>
    </xf>
    <xf numFmtId="0" fontId="0" fillId="10" borderId="97" xfId="0" applyFill="1" applyBorder="1" applyAlignment="1" applyProtection="1">
      <protection hidden="1"/>
    </xf>
    <xf numFmtId="0" fontId="0" fillId="10" borderId="98" xfId="0" applyFill="1" applyBorder="1" applyProtection="1">
      <protection hidden="1"/>
    </xf>
    <xf numFmtId="0" fontId="0" fillId="10" borderId="99" xfId="0" applyFill="1" applyBorder="1" applyProtection="1">
      <protection hidden="1"/>
    </xf>
    <xf numFmtId="0" fontId="0" fillId="14" borderId="20" xfId="0" applyFont="1" applyFill="1" applyBorder="1" applyAlignment="1" applyProtection="1">
      <alignment horizontal="center" wrapText="1"/>
      <protection hidden="1"/>
    </xf>
    <xf numFmtId="0" fontId="0" fillId="14" borderId="17" xfId="0" applyFont="1" applyFill="1" applyBorder="1" applyAlignment="1" applyProtection="1">
      <alignment horizontal="center" wrapText="1"/>
      <protection hidden="1"/>
    </xf>
    <xf numFmtId="0" fontId="0" fillId="0" borderId="8" xfId="0" applyFont="1" applyFill="1" applyBorder="1" applyAlignment="1" applyProtection="1">
      <alignment horizontal="center" wrapText="1"/>
      <protection hidden="1"/>
    </xf>
    <xf numFmtId="0" fontId="0" fillId="0" borderId="24" xfId="0" applyFont="1" applyFill="1" applyBorder="1" applyAlignment="1" applyProtection="1">
      <alignment horizontal="center" wrapText="1"/>
      <protection hidden="1"/>
    </xf>
    <xf numFmtId="164" fontId="8" fillId="7" borderId="5" xfId="1" applyNumberFormat="1" applyFont="1" applyFill="1" applyBorder="1" applyAlignment="1" applyProtection="1">
      <alignment horizontal="center"/>
      <protection hidden="1"/>
    </xf>
    <xf numFmtId="0" fontId="0" fillId="13" borderId="85" xfId="0" applyFill="1" applyBorder="1" applyAlignment="1" applyProtection="1">
      <protection hidden="1"/>
    </xf>
    <xf numFmtId="164" fontId="0" fillId="9" borderId="66" xfId="0" applyNumberForma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0" fillId="0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0" fillId="4" borderId="95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17" borderId="96" xfId="0" applyFill="1" applyBorder="1" applyAlignment="1" applyProtection="1">
      <alignment horizontal="center"/>
      <protection hidden="1"/>
    </xf>
    <xf numFmtId="0" fontId="0" fillId="17" borderId="0" xfId="0" applyFill="1" applyBorder="1" applyAlignment="1" applyProtection="1">
      <alignment horizontal="center"/>
      <protection hidden="1"/>
    </xf>
    <xf numFmtId="0" fontId="0" fillId="17" borderId="35" xfId="0" applyFill="1" applyBorder="1" applyAlignment="1" applyProtection="1">
      <alignment horizontal="center"/>
      <protection hidden="1"/>
    </xf>
    <xf numFmtId="0" fontId="0" fillId="17" borderId="94" xfId="0" applyFill="1" applyBorder="1" applyAlignment="1" applyProtection="1">
      <alignment horizontal="center"/>
      <protection hidden="1"/>
    </xf>
    <xf numFmtId="0" fontId="0" fillId="17" borderId="10" xfId="0" applyFill="1" applyBorder="1" applyAlignment="1" applyProtection="1">
      <alignment horizontal="center"/>
      <protection hidden="1"/>
    </xf>
    <xf numFmtId="0" fontId="0" fillId="17" borderId="21" xfId="0" applyFill="1" applyBorder="1" applyAlignment="1" applyProtection="1">
      <alignment horizontal="center"/>
      <protection hidden="1"/>
    </xf>
    <xf numFmtId="0" fontId="0" fillId="17" borderId="34" xfId="0" applyFill="1" applyBorder="1" applyAlignment="1" applyProtection="1">
      <alignment horizontal="center"/>
      <protection hidden="1"/>
    </xf>
    <xf numFmtId="0" fontId="0" fillId="17" borderId="29" xfId="0" applyFill="1" applyBorder="1" applyAlignment="1" applyProtection="1">
      <alignment horizontal="center"/>
      <protection hidden="1"/>
    </xf>
    <xf numFmtId="0" fontId="0" fillId="17" borderId="50" xfId="0" applyFill="1" applyBorder="1" applyAlignment="1" applyProtection="1">
      <alignment horizontal="center"/>
      <protection hidden="1"/>
    </xf>
    <xf numFmtId="0" fontId="0" fillId="17" borderId="95" xfId="0" applyFill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4" xfId="0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15" fillId="19" borderId="10" xfId="0" applyFont="1" applyFill="1" applyBorder="1" applyAlignment="1" applyProtection="1">
      <alignment horizontal="center"/>
      <protection hidden="1"/>
    </xf>
    <xf numFmtId="0" fontId="0" fillId="0" borderId="66" xfId="0" applyBorder="1" applyProtection="1">
      <protection hidden="1"/>
    </xf>
    <xf numFmtId="3" fontId="0" fillId="0" borderId="47" xfId="0" applyNumberFormat="1" applyBorder="1" applyProtection="1">
      <protection hidden="1"/>
    </xf>
    <xf numFmtId="3" fontId="0" fillId="6" borderId="12" xfId="0" applyNumberFormat="1" applyFill="1" applyBorder="1" applyProtection="1">
      <protection hidden="1"/>
    </xf>
    <xf numFmtId="3" fontId="0" fillId="0" borderId="12" xfId="0" applyNumberFormat="1" applyBorder="1" applyProtection="1">
      <protection hidden="1"/>
    </xf>
    <xf numFmtId="3" fontId="0" fillId="0" borderId="12" xfId="0" applyNumberFormat="1" applyFill="1" applyBorder="1" applyProtection="1">
      <protection hidden="1"/>
    </xf>
    <xf numFmtId="0" fontId="2" fillId="0" borderId="49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right"/>
    </xf>
    <xf numFmtId="0" fontId="0" fillId="2" borderId="49" xfId="0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right"/>
    </xf>
    <xf numFmtId="0" fontId="0" fillId="2" borderId="9" xfId="0" applyFont="1" applyFill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right"/>
    </xf>
    <xf numFmtId="0" fontId="0" fillId="2" borderId="71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164" fontId="0" fillId="2" borderId="9" xfId="1" applyNumberFormat="1" applyFont="1" applyFill="1" applyBorder="1" applyAlignment="1" applyProtection="1">
      <alignment horizontal="center"/>
      <protection locked="0"/>
    </xf>
    <xf numFmtId="164" fontId="12" fillId="3" borderId="9" xfId="1" applyNumberFormat="1" applyFont="1" applyFill="1" applyBorder="1" applyAlignment="1" applyProtection="1">
      <alignment horizontal="center"/>
      <protection hidden="1"/>
    </xf>
    <xf numFmtId="0" fontId="0" fillId="3" borderId="2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16" borderId="7" xfId="0" applyFont="1" applyFill="1" applyBorder="1" applyAlignment="1" applyProtection="1">
      <alignment horizontal="center"/>
    </xf>
    <xf numFmtId="0" fontId="0" fillId="16" borderId="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8" xfId="0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0" fillId="10" borderId="24" xfId="0" applyFill="1" applyBorder="1" applyProtection="1"/>
    <xf numFmtId="0" fontId="5" fillId="0" borderId="94" xfId="0" applyFont="1" applyFill="1" applyBorder="1" applyAlignment="1" applyProtection="1">
      <alignment horizontal="center"/>
    </xf>
    <xf numFmtId="0" fontId="2" fillId="0" borderId="94" xfId="0" applyFont="1" applyFill="1" applyBorder="1" applyAlignment="1" applyProtection="1">
      <alignment horizontal="center"/>
    </xf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2" fillId="0" borderId="43" xfId="0" applyFont="1" applyBorder="1" applyProtection="1"/>
    <xf numFmtId="0" fontId="0" fillId="4" borderId="4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14" borderId="41" xfId="0" applyFill="1" applyBorder="1" applyProtection="1"/>
    <xf numFmtId="0" fontId="0" fillId="0" borderId="52" xfId="0" applyBorder="1" applyProtection="1"/>
    <xf numFmtId="0" fontId="0" fillId="0" borderId="31" xfId="0" applyBorder="1" applyProtection="1"/>
    <xf numFmtId="0" fontId="0" fillId="14" borderId="20" xfId="0" applyFill="1" applyBorder="1" applyProtection="1"/>
    <xf numFmtId="0" fontId="0" fillId="0" borderId="9" xfId="0" applyBorder="1" applyProtection="1"/>
    <xf numFmtId="0" fontId="0" fillId="0" borderId="25" xfId="0" applyBorder="1" applyProtection="1"/>
    <xf numFmtId="0" fontId="0" fillId="0" borderId="25" xfId="0" applyBorder="1" applyProtection="1">
      <protection hidden="1"/>
    </xf>
    <xf numFmtId="0" fontId="2" fillId="0" borderId="60" xfId="0" applyFont="1" applyFill="1" applyBorder="1" applyAlignment="1" applyProtection="1">
      <alignment horizontal="center"/>
    </xf>
    <xf numFmtId="0" fontId="5" fillId="0" borderId="60" xfId="0" applyFont="1" applyFill="1" applyBorder="1" applyAlignment="1" applyProtection="1">
      <alignment horizontal="center"/>
    </xf>
    <xf numFmtId="0" fontId="0" fillId="14" borderId="45" xfId="0" applyFill="1" applyBorder="1" applyProtection="1"/>
    <xf numFmtId="0" fontId="0" fillId="0" borderId="92" xfId="0" applyBorder="1" applyProtection="1"/>
    <xf numFmtId="0" fontId="0" fillId="0" borderId="32" xfId="0" applyBorder="1" applyProtection="1"/>
    <xf numFmtId="0" fontId="0" fillId="0" borderId="8" xfId="0" applyFill="1" applyBorder="1" applyProtection="1">
      <protection hidden="1"/>
    </xf>
    <xf numFmtId="0" fontId="0" fillId="10" borderId="8" xfId="0" applyFill="1" applyBorder="1" applyProtection="1">
      <protection hidden="1"/>
    </xf>
    <xf numFmtId="0" fontId="0" fillId="0" borderId="9" xfId="0" applyFill="1" applyBorder="1" applyProtection="1"/>
    <xf numFmtId="0" fontId="0" fillId="10" borderId="9" xfId="0" applyFill="1" applyBorder="1" applyProtection="1">
      <protection hidden="1"/>
    </xf>
    <xf numFmtId="0" fontId="0" fillId="0" borderId="24" xfId="0" applyFill="1" applyBorder="1" applyProtection="1"/>
    <xf numFmtId="0" fontId="0" fillId="10" borderId="25" xfId="0" applyFill="1" applyBorder="1" applyProtection="1"/>
    <xf numFmtId="0" fontId="0" fillId="0" borderId="100" xfId="0" applyBorder="1" applyProtection="1"/>
    <xf numFmtId="0" fontId="0" fillId="0" borderId="101" xfId="0" applyBorder="1" applyProtection="1"/>
    <xf numFmtId="0" fontId="0" fillId="0" borderId="101" xfId="0" applyFill="1" applyBorder="1" applyProtection="1"/>
    <xf numFmtId="0" fontId="0" fillId="0" borderId="71" xfId="0" applyFill="1" applyBorder="1" applyProtection="1"/>
    <xf numFmtId="0" fontId="0" fillId="14" borderId="23" xfId="0" applyFill="1" applyBorder="1" applyProtection="1"/>
    <xf numFmtId="0" fontId="0" fillId="14" borderId="24" xfId="0" applyFill="1" applyBorder="1" applyProtection="1"/>
    <xf numFmtId="0" fontId="0" fillId="14" borderId="25" xfId="0" applyFill="1" applyBorder="1" applyProtection="1"/>
    <xf numFmtId="0" fontId="0" fillId="0" borderId="10" xfId="0" applyFont="1" applyBorder="1" applyProtection="1"/>
    <xf numFmtId="0" fontId="0" fillId="0" borderId="21" xfId="0" applyFont="1" applyBorder="1" applyProtection="1"/>
    <xf numFmtId="0" fontId="0" fillId="0" borderId="14" xfId="0" applyBorder="1"/>
    <xf numFmtId="0" fontId="0" fillId="0" borderId="29" xfId="0" applyBorder="1"/>
    <xf numFmtId="0" fontId="0" fillId="0" borderId="30" xfId="0" applyBorder="1"/>
    <xf numFmtId="0" fontId="19" fillId="0" borderId="0" xfId="0" applyFont="1" applyProtection="1"/>
    <xf numFmtId="0" fontId="0" fillId="2" borderId="10" xfId="0" applyFill="1" applyBorder="1" applyAlignment="1" applyProtection="1">
      <alignment horizontal="center"/>
      <protection locked="0"/>
    </xf>
    <xf numFmtId="0" fontId="0" fillId="2" borderId="102" xfId="0" applyFill="1" applyBorder="1" applyAlignment="1" applyProtection="1">
      <alignment horizontal="center"/>
      <protection locked="0"/>
    </xf>
    <xf numFmtId="0" fontId="2" fillId="0" borderId="43" xfId="0" applyFont="1" applyBorder="1" applyProtection="1">
      <protection hidden="1"/>
    </xf>
    <xf numFmtId="0" fontId="2" fillId="0" borderId="43" xfId="0" applyFont="1" applyBorder="1" applyAlignment="1" applyProtection="1">
      <alignment horizontal="center" wrapText="1"/>
      <protection hidden="1"/>
    </xf>
    <xf numFmtId="0" fontId="2" fillId="9" borderId="16" xfId="0" applyFont="1" applyFill="1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35" xfId="0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0" fontId="2" fillId="0" borderId="3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Alignment="1" applyProtection="1"/>
    <xf numFmtId="0" fontId="2" fillId="0" borderId="33" xfId="0" applyFont="1" applyBorder="1" applyAlignment="1" applyProtection="1"/>
    <xf numFmtId="0" fontId="0" fillId="0" borderId="70" xfId="0" applyBorder="1" applyProtection="1"/>
    <xf numFmtId="0" fontId="0" fillId="2" borderId="7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</xf>
    <xf numFmtId="0" fontId="2" fillId="0" borderId="34" xfId="0" applyFont="1" applyFill="1" applyBorder="1" applyAlignment="1" applyProtection="1">
      <alignment horizontal="right"/>
    </xf>
    <xf numFmtId="0" fontId="0" fillId="2" borderId="56" xfId="0" applyFont="1" applyFill="1" applyBorder="1" applyAlignment="1" applyProtection="1">
      <alignment horizontal="center"/>
      <protection locked="0"/>
    </xf>
    <xf numFmtId="164" fontId="0" fillId="2" borderId="71" xfId="1" applyNumberFormat="1" applyFont="1" applyFill="1" applyBorder="1" applyAlignment="1" applyProtection="1">
      <alignment horizontal="center"/>
      <protection locked="0"/>
    </xf>
    <xf numFmtId="0" fontId="0" fillId="3" borderId="34" xfId="0" applyFont="1" applyFill="1" applyBorder="1" applyAlignment="1" applyProtection="1">
      <alignment horizontal="center"/>
    </xf>
    <xf numFmtId="164" fontId="0" fillId="16" borderId="9" xfId="1" applyNumberFormat="1" applyFont="1" applyFill="1" applyBorder="1" applyAlignment="1" applyProtection="1">
      <alignment horizontal="center"/>
    </xf>
    <xf numFmtId="0" fontId="0" fillId="16" borderId="16" xfId="0" applyFont="1" applyFill="1" applyBorder="1" applyAlignment="1" applyProtection="1">
      <alignment horizontal="center"/>
    </xf>
    <xf numFmtId="0" fontId="0" fillId="16" borderId="20" xfId="0" applyFont="1" applyFill="1" applyBorder="1" applyAlignment="1" applyProtection="1">
      <alignment horizontal="center"/>
    </xf>
    <xf numFmtId="164" fontId="0" fillId="22" borderId="65" xfId="0" applyNumberFormat="1" applyFont="1" applyFill="1" applyBorder="1" applyAlignment="1" applyProtection="1">
      <alignment horizontal="center"/>
      <protection locked="0"/>
    </xf>
    <xf numFmtId="164" fontId="0" fillId="22" borderId="66" xfId="0" applyNumberFormat="1" applyFont="1" applyFill="1" applyBorder="1" applyAlignment="1" applyProtection="1">
      <alignment horizontal="center"/>
      <protection locked="0"/>
    </xf>
    <xf numFmtId="164" fontId="0" fillId="22" borderId="64" xfId="0" applyNumberFormat="1" applyFont="1" applyFill="1" applyBorder="1" applyAlignment="1" applyProtection="1">
      <alignment horizontal="center"/>
      <protection locked="0"/>
    </xf>
    <xf numFmtId="164" fontId="0" fillId="22" borderId="67" xfId="0" applyNumberFormat="1" applyFont="1" applyFill="1" applyBorder="1" applyAlignment="1" applyProtection="1">
      <alignment horizontal="center"/>
      <protection locked="0"/>
    </xf>
    <xf numFmtId="0" fontId="0" fillId="3" borderId="61" xfId="0" applyFont="1" applyFill="1" applyBorder="1" applyAlignment="1" applyProtection="1">
      <alignment horizontal="center"/>
      <protection hidden="1"/>
    </xf>
    <xf numFmtId="0" fontId="0" fillId="3" borderId="52" xfId="0" applyFont="1" applyFill="1" applyBorder="1" applyAlignment="1" applyProtection="1">
      <alignment horizontal="center"/>
      <protection hidden="1"/>
    </xf>
    <xf numFmtId="0" fontId="0" fillId="7" borderId="70" xfId="0" applyFont="1" applyFill="1" applyBorder="1" applyAlignment="1" applyProtection="1">
      <alignment horizontal="center"/>
      <protection hidden="1"/>
    </xf>
    <xf numFmtId="0" fontId="0" fillId="0" borderId="26" xfId="0" applyBorder="1" applyProtection="1"/>
    <xf numFmtId="0" fontId="0" fillId="7" borderId="65" xfId="0" applyFont="1" applyFill="1" applyBorder="1" applyAlignment="1" applyProtection="1">
      <alignment horizontal="center"/>
      <protection hidden="1"/>
    </xf>
    <xf numFmtId="0" fontId="0" fillId="10" borderId="10" xfId="0" applyFont="1" applyFill="1" applyBorder="1" applyProtection="1"/>
    <xf numFmtId="0" fontId="0" fillId="10" borderId="21" xfId="0" applyFont="1" applyFill="1" applyBorder="1" applyProtection="1"/>
    <xf numFmtId="0" fontId="0" fillId="10" borderId="26" xfId="0" applyFont="1" applyFill="1" applyBorder="1" applyProtection="1"/>
    <xf numFmtId="0" fontId="0" fillId="7" borderId="7" xfId="0" applyFont="1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 vertical="top"/>
      <protection hidden="1"/>
    </xf>
    <xf numFmtId="0" fontId="2" fillId="0" borderId="48" xfId="0" applyFont="1" applyFill="1" applyBorder="1" applyAlignment="1" applyProtection="1">
      <alignment horizontal="center"/>
    </xf>
    <xf numFmtId="0" fontId="0" fillId="14" borderId="42" xfId="0" applyFill="1" applyBorder="1" applyProtection="1"/>
    <xf numFmtId="0" fontId="0" fillId="0" borderId="56" xfId="0" applyBorder="1" applyProtection="1"/>
    <xf numFmtId="0" fontId="0" fillId="0" borderId="61" xfId="0" applyBorder="1" applyProtection="1"/>
    <xf numFmtId="0" fontId="0" fillId="0" borderId="28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70" xfId="0" applyFont="1" applyBorder="1" applyAlignment="1" applyProtection="1">
      <alignment horizontal="center"/>
      <protection hidden="1"/>
    </xf>
    <xf numFmtId="0" fontId="0" fillId="0" borderId="81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2" fillId="0" borderId="26" xfId="0" applyFont="1" applyBorder="1" applyAlignment="1">
      <alignment horizontal="center"/>
    </xf>
    <xf numFmtId="0" fontId="0" fillId="0" borderId="44" xfId="0" applyBorder="1" applyProtection="1"/>
    <xf numFmtId="0" fontId="0" fillId="0" borderId="33" xfId="0" applyFont="1" applyBorder="1" applyProtection="1"/>
    <xf numFmtId="0" fontId="0" fillId="0" borderId="66" xfId="0" applyFill="1" applyBorder="1" applyAlignment="1" applyProtection="1">
      <alignment horizontal="center"/>
    </xf>
    <xf numFmtId="0" fontId="0" fillId="0" borderId="69" xfId="0" applyBorder="1" applyAlignment="1" applyProtection="1">
      <alignment horizontal="center"/>
    </xf>
    <xf numFmtId="0" fontId="0" fillId="17" borderId="46" xfId="0" applyFill="1" applyBorder="1" applyAlignment="1" applyProtection="1">
      <alignment horizontal="center"/>
      <protection hidden="1"/>
    </xf>
    <xf numFmtId="0" fontId="0" fillId="17" borderId="5" xfId="0" applyFill="1" applyBorder="1" applyAlignment="1" applyProtection="1">
      <alignment horizontal="center"/>
      <protection hidden="1"/>
    </xf>
    <xf numFmtId="0" fontId="0" fillId="17" borderId="59" xfId="0" applyFill="1" applyBorder="1" applyAlignment="1" applyProtection="1">
      <alignment horizontal="center"/>
      <protection hidden="1"/>
    </xf>
    <xf numFmtId="0" fontId="0" fillId="17" borderId="47" xfId="0" applyFill="1" applyBorder="1" applyAlignment="1" applyProtection="1">
      <alignment horizontal="center"/>
      <protection hidden="1"/>
    </xf>
    <xf numFmtId="0" fontId="0" fillId="17" borderId="49" xfId="0" applyFill="1" applyBorder="1" applyAlignment="1" applyProtection="1">
      <alignment horizontal="center"/>
      <protection hidden="1"/>
    </xf>
    <xf numFmtId="0" fontId="0" fillId="17" borderId="57" xfId="0" applyFill="1" applyBorder="1" applyAlignment="1" applyProtection="1">
      <alignment horizontal="center"/>
      <protection hidden="1"/>
    </xf>
    <xf numFmtId="0" fontId="0" fillId="17" borderId="51" xfId="0" applyFill="1" applyBorder="1" applyAlignment="1" applyProtection="1">
      <alignment horizontal="center"/>
      <protection hidden="1"/>
    </xf>
    <xf numFmtId="44" fontId="0" fillId="0" borderId="36" xfId="0" applyNumberFormat="1" applyFont="1" applyBorder="1" applyAlignment="1" applyProtection="1">
      <alignment horizontal="right"/>
    </xf>
    <xf numFmtId="164" fontId="0" fillId="0" borderId="37" xfId="1" applyNumberFormat="1" applyFont="1" applyFill="1" applyBorder="1" applyAlignment="1" applyProtection="1">
      <alignment horizontal="left" vertical="center"/>
      <protection hidden="1"/>
    </xf>
    <xf numFmtId="164" fontId="0" fillId="0" borderId="37" xfId="1" applyNumberFormat="1" applyFont="1" applyFill="1" applyBorder="1" applyAlignment="1" applyProtection="1">
      <protection hidden="1"/>
    </xf>
    <xf numFmtId="0" fontId="0" fillId="0" borderId="45" xfId="0" applyBorder="1" applyProtection="1"/>
    <xf numFmtId="164" fontId="0" fillId="0" borderId="62" xfId="0" applyNumberFormat="1" applyBorder="1" applyProtection="1"/>
    <xf numFmtId="0" fontId="0" fillId="0" borderId="17" xfId="0" applyBorder="1" applyProtection="1"/>
    <xf numFmtId="44" fontId="4" fillId="6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164" fontId="8" fillId="10" borderId="103" xfId="1" applyNumberFormat="1" applyFont="1" applyFill="1" applyBorder="1" applyAlignment="1" applyProtection="1">
      <alignment horizontal="center"/>
      <protection hidden="1"/>
    </xf>
    <xf numFmtId="44" fontId="2" fillId="6" borderId="46" xfId="0" applyNumberFormat="1" applyFont="1" applyFill="1" applyBorder="1" applyAlignment="1" applyProtection="1">
      <alignment horizontal="right"/>
    </xf>
    <xf numFmtId="164" fontId="0" fillId="6" borderId="59" xfId="1" applyNumberFormat="1" applyFont="1" applyFill="1" applyBorder="1" applyAlignment="1" applyProtection="1">
      <alignment horizontal="center"/>
    </xf>
    <xf numFmtId="164" fontId="0" fillId="6" borderId="80" xfId="1" applyNumberFormat="1" applyFont="1" applyFill="1" applyBorder="1" applyAlignment="1" applyProtection="1">
      <alignment horizontal="center"/>
      <protection hidden="1"/>
    </xf>
    <xf numFmtId="164" fontId="0" fillId="6" borderId="48" xfId="1" applyNumberFormat="1" applyFont="1" applyFill="1" applyBorder="1" applyAlignment="1" applyProtection="1">
      <alignment horizontal="center"/>
      <protection hidden="1"/>
    </xf>
    <xf numFmtId="44" fontId="2" fillId="0" borderId="34" xfId="0" applyNumberFormat="1" applyFont="1" applyFill="1" applyBorder="1" applyAlignment="1" applyProtection="1">
      <alignment horizontal="right"/>
      <protection hidden="1"/>
    </xf>
    <xf numFmtId="44" fontId="0" fillId="7" borderId="95" xfId="0" applyNumberFormat="1" applyFont="1" applyFill="1" applyBorder="1" applyAlignment="1" applyProtection="1">
      <alignment horizontal="right"/>
    </xf>
    <xf numFmtId="44" fontId="2" fillId="0" borderId="1" xfId="0" applyNumberFormat="1" applyFont="1" applyFill="1" applyBorder="1" applyAlignment="1" applyProtection="1">
      <alignment horizontal="right"/>
      <protection hidden="1"/>
    </xf>
    <xf numFmtId="164" fontId="0" fillId="0" borderId="2" xfId="0" applyNumberFormat="1" applyBorder="1" applyAlignment="1" applyProtection="1"/>
    <xf numFmtId="164" fontId="0" fillId="0" borderId="3" xfId="0" applyNumberFormat="1" applyBorder="1" applyAlignment="1" applyProtection="1"/>
    <xf numFmtId="164" fontId="0" fillId="0" borderId="95" xfId="0" applyNumberFormat="1" applyFont="1" applyFill="1" applyBorder="1" applyAlignment="1" applyProtection="1">
      <alignment horizontal="right"/>
      <protection hidden="1"/>
    </xf>
    <xf numFmtId="164" fontId="0" fillId="0" borderId="51" xfId="0" applyNumberFormat="1" applyFont="1" applyFill="1" applyBorder="1" applyAlignment="1" applyProtection="1">
      <alignment horizontal="right"/>
      <protection hidden="1"/>
    </xf>
    <xf numFmtId="166" fontId="4" fillId="7" borderId="16" xfId="0" applyNumberFormat="1" applyFont="1" applyFill="1" applyBorder="1" applyAlignment="1" applyProtection="1">
      <alignment horizontal="center"/>
    </xf>
    <xf numFmtId="44" fontId="2" fillId="0" borderId="23" xfId="0" applyNumberFormat="1" applyFont="1" applyBorder="1" applyAlignment="1" applyProtection="1">
      <alignment horizontal="right"/>
    </xf>
    <xf numFmtId="44" fontId="2" fillId="0" borderId="27" xfId="0" applyNumberFormat="1" applyFont="1" applyBorder="1" applyProtection="1"/>
    <xf numFmtId="44" fontId="2" fillId="0" borderId="24" xfId="0" applyNumberFormat="1" applyFont="1" applyBorder="1" applyAlignment="1" applyProtection="1">
      <alignment horizontal="center"/>
    </xf>
    <xf numFmtId="164" fontId="2" fillId="0" borderId="25" xfId="1" applyNumberFormat="1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0" fillId="24" borderId="8" xfId="0" applyFill="1" applyBorder="1" applyAlignment="1" applyProtection="1">
      <alignment horizontal="center"/>
    </xf>
    <xf numFmtId="0" fontId="0" fillId="24" borderId="24" xfId="0" applyFill="1" applyBorder="1" applyAlignment="1" applyProtection="1">
      <alignment horizontal="center"/>
    </xf>
    <xf numFmtId="0" fontId="0" fillId="24" borderId="17" xfId="0" applyFill="1" applyBorder="1" applyAlignment="1" applyProtection="1">
      <alignment horizontal="center"/>
    </xf>
    <xf numFmtId="0" fontId="5" fillId="24" borderId="49" xfId="0" applyFont="1" applyFill="1" applyBorder="1" applyAlignment="1" applyProtection="1">
      <alignment horizontal="center"/>
    </xf>
    <xf numFmtId="0" fontId="0" fillId="24" borderId="8" xfId="1" applyNumberFormat="1" applyFont="1" applyFill="1" applyBorder="1" applyAlignment="1" applyProtection="1">
      <alignment horizontal="center"/>
      <protection hidden="1"/>
    </xf>
    <xf numFmtId="0" fontId="0" fillId="24" borderId="8" xfId="0" applyFill="1" applyBorder="1" applyAlignment="1" applyProtection="1">
      <alignment horizontal="center"/>
      <protection hidden="1"/>
    </xf>
    <xf numFmtId="0" fontId="0" fillId="24" borderId="24" xfId="0" applyFill="1" applyBorder="1" applyAlignment="1" applyProtection="1">
      <alignment horizontal="center"/>
      <protection hidden="1"/>
    </xf>
    <xf numFmtId="0" fontId="0" fillId="24" borderId="8" xfId="1" applyNumberFormat="1" applyFont="1" applyFill="1" applyBorder="1" applyAlignment="1" applyProtection="1">
      <alignment horizontal="center"/>
    </xf>
    <xf numFmtId="0" fontId="0" fillId="24" borderId="44" xfId="0" applyFill="1" applyBorder="1" applyAlignment="1" applyProtection="1">
      <alignment horizontal="center"/>
      <protection hidden="1"/>
    </xf>
    <xf numFmtId="0" fontId="5" fillId="24" borderId="19" xfId="0" applyFont="1" applyFill="1" applyBorder="1" applyAlignment="1" applyProtection="1">
      <alignment horizontal="center"/>
    </xf>
    <xf numFmtId="0" fontId="5" fillId="24" borderId="33" xfId="0" applyFont="1" applyFill="1" applyBorder="1" applyAlignment="1" applyProtection="1">
      <alignment horizontal="center"/>
    </xf>
    <xf numFmtId="0" fontId="0" fillId="24" borderId="16" xfId="0" applyFill="1" applyBorder="1" applyAlignment="1" applyProtection="1">
      <alignment horizontal="center"/>
      <protection hidden="1"/>
    </xf>
    <xf numFmtId="0" fontId="0" fillId="24" borderId="18" xfId="0" applyFill="1" applyBorder="1" applyAlignment="1" applyProtection="1">
      <alignment horizontal="center"/>
      <protection hidden="1"/>
    </xf>
    <xf numFmtId="0" fontId="0" fillId="24" borderId="7" xfId="0" applyFill="1" applyBorder="1" applyAlignment="1" applyProtection="1">
      <alignment horizontal="center"/>
      <protection hidden="1"/>
    </xf>
    <xf numFmtId="0" fontId="0" fillId="24" borderId="22" xfId="0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hidden="1"/>
    </xf>
    <xf numFmtId="0" fontId="0" fillId="24" borderId="27" xfId="0" applyFill="1" applyBorder="1" applyAlignment="1" applyProtection="1">
      <alignment horizontal="center"/>
      <protection hidden="1"/>
    </xf>
    <xf numFmtId="0" fontId="0" fillId="24" borderId="92" xfId="0" applyFill="1" applyBorder="1" applyAlignment="1" applyProtection="1">
      <alignment horizontal="center"/>
      <protection hidden="1"/>
    </xf>
    <xf numFmtId="0" fontId="0" fillId="24" borderId="32" xfId="0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/>
    </xf>
    <xf numFmtId="0" fontId="0" fillId="24" borderId="42" xfId="0" applyFill="1" applyBorder="1" applyProtection="1"/>
    <xf numFmtId="0" fontId="0" fillId="24" borderId="70" xfId="0" applyFill="1" applyBorder="1" applyProtection="1"/>
    <xf numFmtId="0" fontId="0" fillId="24" borderId="56" xfId="0" applyFill="1" applyBorder="1" applyProtection="1"/>
    <xf numFmtId="0" fontId="0" fillId="24" borderId="56" xfId="0" applyFill="1" applyBorder="1" applyProtection="1">
      <protection hidden="1"/>
    </xf>
    <xf numFmtId="0" fontId="2" fillId="24" borderId="4" xfId="0" applyFont="1" applyFill="1" applyBorder="1" applyAlignment="1" applyProtection="1">
      <alignment horizontal="center"/>
    </xf>
    <xf numFmtId="0" fontId="2" fillId="24" borderId="19" xfId="0" applyFont="1" applyFill="1" applyBorder="1" applyAlignment="1" applyProtection="1">
      <alignment horizontal="center"/>
    </xf>
    <xf numFmtId="0" fontId="2" fillId="24" borderId="33" xfId="0" applyFont="1" applyFill="1" applyBorder="1" applyAlignment="1" applyProtection="1">
      <alignment horizontal="center"/>
    </xf>
    <xf numFmtId="0" fontId="0" fillId="24" borderId="16" xfId="0" applyFill="1" applyBorder="1" applyProtection="1">
      <protection hidden="1"/>
    </xf>
    <xf numFmtId="0" fontId="0" fillId="24" borderId="18" xfId="0" applyFill="1" applyBorder="1" applyProtection="1">
      <protection hidden="1"/>
    </xf>
    <xf numFmtId="0" fontId="0" fillId="24" borderId="40" xfId="0" applyFill="1" applyBorder="1" applyProtection="1"/>
    <xf numFmtId="0" fontId="0" fillId="24" borderId="7" xfId="0" applyFill="1" applyBorder="1" applyProtection="1">
      <protection hidden="1"/>
    </xf>
    <xf numFmtId="0" fontId="0" fillId="24" borderId="22" xfId="0" applyFill="1" applyBorder="1" applyProtection="1">
      <protection hidden="1"/>
    </xf>
    <xf numFmtId="0" fontId="0" fillId="24" borderId="54" xfId="0" applyFill="1" applyBorder="1" applyProtection="1"/>
    <xf numFmtId="0" fontId="0" fillId="24" borderId="23" xfId="0" applyFill="1" applyBorder="1" applyProtection="1">
      <protection hidden="1"/>
    </xf>
    <xf numFmtId="0" fontId="0" fillId="24" borderId="27" xfId="0" applyFill="1" applyBorder="1" applyProtection="1">
      <protection hidden="1"/>
    </xf>
    <xf numFmtId="0" fontId="0" fillId="24" borderId="58" xfId="0" applyFill="1" applyBorder="1" applyProtection="1">
      <protection hidden="1"/>
    </xf>
    <xf numFmtId="0" fontId="2" fillId="24" borderId="10" xfId="0" applyFont="1" applyFill="1" applyBorder="1" applyAlignment="1" applyProtection="1">
      <alignment horizontal="center"/>
    </xf>
    <xf numFmtId="0" fontId="5" fillId="24" borderId="21" xfId="0" applyFont="1" applyFill="1" applyBorder="1" applyAlignment="1" applyProtection="1">
      <alignment horizontal="center"/>
    </xf>
    <xf numFmtId="0" fontId="0" fillId="24" borderId="55" xfId="0" applyFill="1" applyBorder="1" applyProtection="1"/>
    <xf numFmtId="0" fontId="0" fillId="24" borderId="58" xfId="0" applyFill="1" applyBorder="1" applyProtection="1"/>
    <xf numFmtId="0" fontId="0" fillId="24" borderId="65" xfId="0" applyFill="1" applyBorder="1" applyProtection="1"/>
    <xf numFmtId="0" fontId="0" fillId="24" borderId="66" xfId="0" applyFill="1" applyBorder="1" applyProtection="1"/>
    <xf numFmtId="0" fontId="0" fillId="24" borderId="67" xfId="0" applyFill="1" applyBorder="1" applyProtection="1"/>
    <xf numFmtId="0" fontId="0" fillId="0" borderId="39" xfId="0" applyFont="1" applyFill="1" applyBorder="1" applyAlignment="1" applyProtection="1">
      <alignment horizontal="center" wrapText="1"/>
      <protection hidden="1"/>
    </xf>
    <xf numFmtId="0" fontId="0" fillId="24" borderId="17" xfId="1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44" fontId="0" fillId="1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60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2" fillId="0" borderId="62" xfId="0" applyFont="1" applyBorder="1" applyAlignment="1" applyProtection="1">
      <alignment horizontal="right"/>
      <protection hidden="1"/>
    </xf>
    <xf numFmtId="0" fontId="5" fillId="9" borderId="10" xfId="0" applyFont="1" applyFill="1" applyBorder="1" applyAlignment="1" applyProtection="1">
      <alignment horizontal="center" vertical="center" textRotation="45"/>
    </xf>
    <xf numFmtId="0" fontId="5" fillId="9" borderId="21" xfId="0" applyFont="1" applyFill="1" applyBorder="1" applyAlignment="1" applyProtection="1">
      <alignment horizontal="center" vertical="center" textRotation="45"/>
    </xf>
    <xf numFmtId="0" fontId="5" fillId="9" borderId="26" xfId="0" applyFont="1" applyFill="1" applyBorder="1" applyAlignment="1" applyProtection="1">
      <alignment horizontal="center" vertical="center" textRotation="45"/>
    </xf>
    <xf numFmtId="0" fontId="5" fillId="0" borderId="1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textRotation="45"/>
    </xf>
    <xf numFmtId="0" fontId="2" fillId="0" borderId="21" xfId="0" applyFont="1" applyBorder="1" applyAlignment="1" applyProtection="1">
      <alignment horizontal="center" vertical="center" textRotation="45"/>
    </xf>
    <xf numFmtId="0" fontId="2" fillId="0" borderId="26" xfId="0" applyFont="1" applyBorder="1" applyAlignment="1" applyProtection="1">
      <alignment horizontal="center" vertical="center" textRotation="45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 textRotation="45" wrapText="1"/>
    </xf>
    <xf numFmtId="0" fontId="2" fillId="5" borderId="6" xfId="0" applyFont="1" applyFill="1" applyBorder="1" applyAlignment="1" applyProtection="1">
      <alignment horizontal="center" vertical="center" textRotation="45" wrapText="1"/>
    </xf>
    <xf numFmtId="0" fontId="2" fillId="5" borderId="19" xfId="0" applyFont="1" applyFill="1" applyBorder="1" applyAlignment="1" applyProtection="1">
      <alignment horizontal="center" vertical="center" textRotation="45" wrapText="1"/>
    </xf>
    <xf numFmtId="0" fontId="2" fillId="5" borderId="33" xfId="0" applyFont="1" applyFill="1" applyBorder="1" applyAlignment="1" applyProtection="1">
      <alignment horizontal="center" vertical="center" textRotation="45" wrapText="1"/>
    </xf>
    <xf numFmtId="0" fontId="2" fillId="5" borderId="14" xfId="0" applyFont="1" applyFill="1" applyBorder="1" applyAlignment="1" applyProtection="1">
      <alignment horizontal="center" vertical="center" textRotation="45" wrapText="1"/>
    </xf>
    <xf numFmtId="0" fontId="2" fillId="5" borderId="30" xfId="0" applyFont="1" applyFill="1" applyBorder="1" applyAlignment="1" applyProtection="1">
      <alignment horizontal="center" vertical="center" textRotation="45" wrapText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5" fillId="6" borderId="10" xfId="0" applyFont="1" applyFill="1" applyBorder="1" applyAlignment="1" applyProtection="1">
      <alignment horizontal="center" vertical="center" wrapText="1"/>
      <protection hidden="1"/>
    </xf>
    <xf numFmtId="0" fontId="5" fillId="6" borderId="21" xfId="0" applyFont="1" applyFill="1" applyBorder="1" applyAlignment="1" applyProtection="1">
      <alignment horizontal="center" vertical="center" wrapText="1"/>
      <protection hidden="1"/>
    </xf>
    <xf numFmtId="0" fontId="5" fillId="6" borderId="26" xfId="0" applyFont="1" applyFill="1" applyBorder="1" applyAlignment="1" applyProtection="1">
      <alignment horizontal="center" vertical="center" wrapText="1"/>
      <protection hidden="1"/>
    </xf>
    <xf numFmtId="0" fontId="5" fillId="9" borderId="4" xfId="0" applyFont="1" applyFill="1" applyBorder="1" applyAlignment="1" applyProtection="1">
      <alignment horizontal="center" vertical="center" textRotation="45"/>
    </xf>
    <xf numFmtId="0" fontId="5" fillId="9" borderId="19" xfId="0" applyFont="1" applyFill="1" applyBorder="1" applyAlignment="1" applyProtection="1">
      <alignment horizontal="center" vertical="center" textRotation="45"/>
    </xf>
    <xf numFmtId="0" fontId="5" fillId="9" borderId="14" xfId="0" applyFont="1" applyFill="1" applyBorder="1" applyAlignment="1" applyProtection="1">
      <alignment horizontal="center" vertical="center" textRotation="45"/>
    </xf>
    <xf numFmtId="0" fontId="6" fillId="6" borderId="10" xfId="0" applyFont="1" applyFill="1" applyBorder="1" applyAlignment="1" applyProtection="1">
      <alignment horizontal="center" vertical="center" textRotation="45"/>
    </xf>
    <xf numFmtId="0" fontId="6" fillId="6" borderId="21" xfId="0" applyFont="1" applyFill="1" applyBorder="1" applyAlignment="1" applyProtection="1">
      <alignment horizontal="center" vertical="center" textRotation="45"/>
    </xf>
    <xf numFmtId="0" fontId="6" fillId="6" borderId="26" xfId="0" applyFont="1" applyFill="1" applyBorder="1" applyAlignment="1" applyProtection="1">
      <alignment horizontal="center" vertical="center" textRotation="45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19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center" vertical="center" textRotation="45"/>
    </xf>
    <xf numFmtId="0" fontId="5" fillId="0" borderId="21" xfId="0" applyFont="1" applyBorder="1" applyAlignment="1" applyProtection="1">
      <alignment horizontal="center" vertical="center" textRotation="45"/>
    </xf>
    <xf numFmtId="0" fontId="5" fillId="0" borderId="26" xfId="0" applyFont="1" applyBorder="1" applyAlignment="1" applyProtection="1">
      <alignment horizontal="center" vertical="center" textRotation="45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2" fillId="12" borderId="4" xfId="0" applyFont="1" applyFill="1" applyBorder="1" applyAlignment="1" applyProtection="1">
      <alignment horizontal="right"/>
    </xf>
    <xf numFmtId="0" fontId="2" fillId="12" borderId="5" xfId="0" applyFont="1" applyFill="1" applyBorder="1" applyAlignment="1" applyProtection="1">
      <alignment horizontal="right"/>
    </xf>
    <xf numFmtId="0" fontId="2" fillId="12" borderId="6" xfId="0" applyFont="1" applyFill="1" applyBorder="1" applyAlignment="1" applyProtection="1">
      <alignment horizontal="right"/>
    </xf>
    <xf numFmtId="0" fontId="2" fillId="12" borderId="14" xfId="0" applyFont="1" applyFill="1" applyBorder="1" applyAlignment="1" applyProtection="1">
      <alignment horizontal="right"/>
    </xf>
    <xf numFmtId="0" fontId="2" fillId="12" borderId="29" xfId="0" applyFont="1" applyFill="1" applyBorder="1" applyAlignment="1" applyProtection="1">
      <alignment horizontal="right"/>
    </xf>
    <xf numFmtId="0" fontId="2" fillId="12" borderId="30" xfId="0" applyFont="1" applyFill="1" applyBorder="1" applyAlignment="1" applyProtection="1">
      <alignment horizontal="right"/>
    </xf>
    <xf numFmtId="0" fontId="2" fillId="23" borderId="4" xfId="0" applyFont="1" applyFill="1" applyBorder="1" applyAlignment="1" applyProtection="1">
      <alignment horizontal="right"/>
    </xf>
    <xf numFmtId="0" fontId="2" fillId="23" borderId="5" xfId="0" applyFont="1" applyFill="1" applyBorder="1" applyAlignment="1" applyProtection="1">
      <alignment horizontal="right"/>
    </xf>
    <xf numFmtId="0" fontId="2" fillId="23" borderId="6" xfId="0" applyFont="1" applyFill="1" applyBorder="1" applyAlignment="1" applyProtection="1">
      <alignment horizontal="right"/>
    </xf>
    <xf numFmtId="0" fontId="0" fillId="0" borderId="37" xfId="0" applyBorder="1" applyAlignment="1" applyProtection="1">
      <alignment horizontal="left" vertical="center" wrapText="1"/>
    </xf>
    <xf numFmtId="0" fontId="0" fillId="0" borderId="61" xfId="0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left" vertical="center" wrapText="1"/>
    </xf>
    <xf numFmtId="0" fontId="0" fillId="0" borderId="35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60" xfId="0" applyBorder="1" applyAlignment="1" applyProtection="1">
      <alignment horizontal="left" vertical="center" wrapText="1"/>
    </xf>
    <xf numFmtId="0" fontId="0" fillId="0" borderId="63" xfId="0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 wrapText="1"/>
    </xf>
    <xf numFmtId="0" fontId="0" fillId="0" borderId="68" xfId="0" applyBorder="1" applyAlignment="1" applyProtection="1">
      <alignment horizontal="left" vertical="center" wrapText="1"/>
    </xf>
    <xf numFmtId="0" fontId="2" fillId="23" borderId="14" xfId="0" applyFont="1" applyFill="1" applyBorder="1" applyAlignment="1" applyProtection="1">
      <alignment horizontal="right"/>
    </xf>
    <xf numFmtId="0" fontId="2" fillId="23" borderId="29" xfId="0" applyFont="1" applyFill="1" applyBorder="1" applyAlignment="1" applyProtection="1">
      <alignment horizontal="right"/>
    </xf>
    <xf numFmtId="0" fontId="2" fillId="23" borderId="30" xfId="0" applyFont="1" applyFill="1" applyBorder="1" applyAlignment="1" applyProtection="1">
      <alignment horizontal="right"/>
    </xf>
    <xf numFmtId="0" fontId="2" fillId="23" borderId="19" xfId="0" applyFont="1" applyFill="1" applyBorder="1" applyAlignment="1" applyProtection="1">
      <alignment horizontal="right"/>
    </xf>
    <xf numFmtId="0" fontId="2" fillId="23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 vertical="top" wrapText="1"/>
    </xf>
    <xf numFmtId="0" fontId="0" fillId="0" borderId="38" xfId="0" applyBorder="1" applyAlignment="1" applyProtection="1">
      <alignment horizontal="center" vertical="top" wrapText="1"/>
    </xf>
    <xf numFmtId="0" fontId="0" fillId="0" borderId="35" xfId="0" applyBorder="1" applyAlignment="1" applyProtection="1">
      <alignment horizontal="center" vertical="top" wrapText="1"/>
    </xf>
    <xf numFmtId="0" fontId="0" fillId="0" borderId="60" xfId="0" applyBorder="1" applyAlignment="1" applyProtection="1">
      <alignment horizontal="center" vertical="top" wrapText="1"/>
    </xf>
    <xf numFmtId="0" fontId="0" fillId="0" borderId="63" xfId="0" applyBorder="1" applyAlignment="1" applyProtection="1">
      <alignment horizontal="center" vertical="top" wrapText="1"/>
    </xf>
    <xf numFmtId="0" fontId="0" fillId="0" borderId="68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24" borderId="4" xfId="0" applyFont="1" applyFill="1" applyBorder="1" applyAlignment="1" applyProtection="1">
      <alignment horizontal="center"/>
    </xf>
    <xf numFmtId="0" fontId="2" fillId="24" borderId="6" xfId="0" applyFont="1" applyFill="1" applyBorder="1" applyAlignment="1" applyProtection="1">
      <alignment horizontal="center"/>
    </xf>
    <xf numFmtId="0" fontId="2" fillId="21" borderId="1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3" xfId="0" applyFill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16" fillId="18" borderId="4" xfId="0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/>
    </xf>
    <xf numFmtId="0" fontId="16" fillId="18" borderId="6" xfId="0" applyFont="1" applyFill="1" applyBorder="1" applyAlignment="1">
      <alignment horizontal="center" vertical="center"/>
    </xf>
    <xf numFmtId="0" fontId="16" fillId="18" borderId="14" xfId="0" applyFont="1" applyFill="1" applyBorder="1" applyAlignment="1">
      <alignment horizontal="center" vertical="center"/>
    </xf>
    <xf numFmtId="0" fontId="16" fillId="18" borderId="29" xfId="0" applyFont="1" applyFill="1" applyBorder="1" applyAlignment="1">
      <alignment horizontal="center" vertical="center"/>
    </xf>
    <xf numFmtId="0" fontId="16" fillId="18" borderId="30" xfId="0" applyFont="1" applyFill="1" applyBorder="1" applyAlignment="1">
      <alignment horizontal="center" vertical="center"/>
    </xf>
    <xf numFmtId="0" fontId="0" fillId="17" borderId="46" xfId="0" applyFill="1" applyBorder="1" applyAlignment="1" applyProtection="1">
      <alignment horizontal="center" vertical="center"/>
      <protection hidden="1"/>
    </xf>
    <xf numFmtId="0" fontId="0" fillId="17" borderId="96" xfId="0" applyFill="1" applyBorder="1" applyAlignment="1" applyProtection="1">
      <alignment horizontal="center" vertical="center"/>
      <protection hidden="1"/>
    </xf>
    <xf numFmtId="0" fontId="0" fillId="17" borderId="34" xfId="0" applyFill="1" applyBorder="1" applyAlignment="1" applyProtection="1">
      <alignment horizontal="center" vertical="center"/>
      <protection hidden="1"/>
    </xf>
    <xf numFmtId="0" fontId="0" fillId="17" borderId="48" xfId="0" applyFill="1" applyBorder="1" applyAlignment="1" applyProtection="1">
      <alignment horizontal="center" vertical="center"/>
      <protection hidden="1"/>
    </xf>
    <xf numFmtId="0" fontId="0" fillId="17" borderId="60" xfId="0" applyFill="1" applyBorder="1" applyAlignment="1" applyProtection="1">
      <alignment horizontal="center" vertical="center"/>
      <protection hidden="1"/>
    </xf>
    <xf numFmtId="0" fontId="0" fillId="17" borderId="62" xfId="0" applyFill="1" applyBorder="1" applyAlignment="1" applyProtection="1">
      <alignment horizontal="center" vertical="center"/>
      <protection hidden="1"/>
    </xf>
    <xf numFmtId="0" fontId="0" fillId="17" borderId="47" xfId="0" applyFill="1" applyBorder="1" applyAlignment="1" applyProtection="1">
      <alignment horizontal="center" vertical="center"/>
      <protection hidden="1"/>
    </xf>
    <xf numFmtId="0" fontId="0" fillId="17" borderId="94" xfId="0" applyFill="1" applyBorder="1" applyAlignment="1" applyProtection="1">
      <alignment horizontal="center" vertical="center"/>
      <protection hidden="1"/>
    </xf>
    <xf numFmtId="0" fontId="0" fillId="17" borderId="95" xfId="0" applyFill="1" applyBorder="1" applyAlignment="1" applyProtection="1">
      <alignment horizontal="center" vertical="center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0" fontId="0" fillId="17" borderId="21" xfId="0" applyFill="1" applyBorder="1" applyAlignment="1" applyProtection="1">
      <alignment horizontal="center" vertical="center"/>
      <protection hidden="1"/>
    </xf>
    <xf numFmtId="0" fontId="0" fillId="17" borderId="6" xfId="0" applyFill="1" applyBorder="1" applyAlignment="1" applyProtection="1">
      <alignment horizontal="center" vertical="center"/>
      <protection hidden="1"/>
    </xf>
    <xf numFmtId="0" fontId="0" fillId="17" borderId="33" xfId="0" applyFill="1" applyBorder="1" applyAlignment="1" applyProtection="1">
      <alignment horizontal="center" vertical="center"/>
      <protection hidden="1"/>
    </xf>
    <xf numFmtId="0" fontId="0" fillId="17" borderId="30" xfId="0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0" fillId="7" borderId="54" xfId="0" applyFont="1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 vertical="top"/>
    </xf>
    <xf numFmtId="0" fontId="0" fillId="0" borderId="60" xfId="0" applyFill="1" applyBorder="1" applyAlignment="1" applyProtection="1">
      <alignment horizontal="center" vertical="top"/>
    </xf>
    <xf numFmtId="0" fontId="0" fillId="0" borderId="94" xfId="0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</xf>
    <xf numFmtId="0" fontId="0" fillId="10" borderId="64" xfId="0" applyFont="1" applyFill="1" applyBorder="1" applyProtection="1"/>
    <xf numFmtId="0" fontId="0" fillId="7" borderId="81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center" vertical="top"/>
    </xf>
    <xf numFmtId="0" fontId="0" fillId="0" borderId="33" xfId="0" applyFill="1" applyBorder="1" applyAlignment="1" applyProtection="1">
      <alignment horizontal="center" vertical="top"/>
      <protection hidden="1"/>
    </xf>
    <xf numFmtId="0" fontId="1" fillId="6" borderId="54" xfId="0" applyFont="1" applyFill="1" applyBorder="1" applyAlignment="1" applyProtection="1">
      <alignment horizontal="center" vertical="center" wrapText="1"/>
      <protection hidden="1"/>
    </xf>
    <xf numFmtId="0" fontId="1" fillId="6" borderId="52" xfId="0" applyFont="1" applyFill="1" applyBorder="1" applyAlignment="1" applyProtection="1">
      <alignment horizontal="center" vertical="center" wrapText="1"/>
      <protection hidden="1"/>
    </xf>
    <xf numFmtId="0" fontId="1" fillId="6" borderId="70" xfId="0" applyFont="1" applyFill="1" applyBorder="1" applyAlignment="1" applyProtection="1">
      <alignment horizontal="center" vertical="center" wrapText="1"/>
      <protection hidden="1"/>
    </xf>
    <xf numFmtId="0" fontId="0" fillId="6" borderId="58" xfId="0" applyFill="1" applyBorder="1" applyAlignment="1" applyProtection="1">
      <alignment horizontal="center"/>
      <protection hidden="1"/>
    </xf>
    <xf numFmtId="0" fontId="1" fillId="6" borderId="40" xfId="0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</xf>
    <xf numFmtId="0" fontId="2" fillId="7" borderId="26" xfId="0" applyFont="1" applyFill="1" applyBorder="1" applyAlignment="1" applyProtection="1">
      <alignment horizontal="center" vertical="center" wrapText="1"/>
    </xf>
    <xf numFmtId="167" fontId="5" fillId="0" borderId="1" xfId="1" applyNumberFormat="1" applyFont="1" applyFill="1" applyBorder="1" applyAlignment="1" applyProtection="1">
      <alignment horizontal="center"/>
    </xf>
    <xf numFmtId="167" fontId="5" fillId="0" borderId="2" xfId="1" applyNumberFormat="1" applyFont="1" applyFill="1" applyBorder="1" applyAlignment="1" applyProtection="1">
      <alignment horizontal="center"/>
    </xf>
    <xf numFmtId="167" fontId="5" fillId="0" borderId="3" xfId="1" applyNumberFormat="1" applyFont="1" applyFill="1" applyBorder="1" applyAlignment="1" applyProtection="1">
      <alignment horizontal="center"/>
    </xf>
    <xf numFmtId="44" fontId="0" fillId="12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2" fillId="0" borderId="89" xfId="0" applyFont="1" applyBorder="1" applyAlignment="1" applyProtection="1">
      <alignment horizontal="center"/>
    </xf>
    <xf numFmtId="0" fontId="2" fillId="0" borderId="90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2" fillId="0" borderId="70" xfId="0" applyFont="1" applyBorder="1" applyAlignment="1" applyProtection="1">
      <alignment horizontal="center"/>
    </xf>
    <xf numFmtId="0" fontId="0" fillId="9" borderId="54" xfId="0" applyFill="1" applyBorder="1" applyAlignment="1" applyProtection="1">
      <alignment horizontal="center"/>
    </xf>
    <xf numFmtId="0" fontId="0" fillId="9" borderId="70" xfId="0" applyFill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6" fontId="2" fillId="12" borderId="43" xfId="0" applyNumberFormat="1" applyFont="1" applyFill="1" applyBorder="1" applyAlignment="1" applyProtection="1">
      <alignment horizontal="center"/>
    </xf>
    <xf numFmtId="44" fontId="0" fillId="10" borderId="26" xfId="0" applyNumberFormat="1" applyFont="1" applyFill="1" applyBorder="1" applyAlignment="1" applyProtection="1">
      <alignment horizontal="center" vertical="center" wrapText="1"/>
      <protection hidden="1"/>
    </xf>
    <xf numFmtId="44" fontId="0" fillId="12" borderId="26" xfId="0" applyNumberFormat="1" applyFont="1" applyFill="1" applyBorder="1" applyAlignment="1" applyProtection="1">
      <alignment horizontal="center" vertical="center"/>
    </xf>
    <xf numFmtId="44" fontId="0" fillId="10" borderId="14" xfId="0" applyNumberFormat="1" applyFont="1" applyFill="1" applyBorder="1" applyAlignment="1" applyProtection="1">
      <alignment horizontal="center" vertical="center" wrapText="1"/>
      <protection hidden="1"/>
    </xf>
    <xf numFmtId="44" fontId="0" fillId="12" borderId="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right"/>
    </xf>
    <xf numFmtId="44" fontId="0" fillId="19" borderId="4" xfId="0" applyNumberFormat="1" applyFont="1" applyFill="1" applyBorder="1" applyAlignment="1" applyProtection="1">
      <alignment horizontal="center" vertical="center" wrapText="1"/>
      <protection hidden="1"/>
    </xf>
    <xf numFmtId="44" fontId="0" fillId="19" borderId="6" xfId="0" applyNumberFormat="1" applyFont="1" applyFill="1" applyBorder="1" applyAlignment="1" applyProtection="1">
      <alignment horizontal="center" vertical="center" wrapText="1"/>
      <protection hidden="1"/>
    </xf>
    <xf numFmtId="4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2" fillId="13" borderId="1" xfId="0" applyNumberFormat="1" applyFont="1" applyFill="1" applyBorder="1" applyAlignment="1" applyProtection="1">
      <alignment horizontal="center"/>
    </xf>
    <xf numFmtId="166" fontId="2" fillId="13" borderId="3" xfId="0" applyNumberFormat="1" applyFont="1" applyFill="1" applyBorder="1" applyAlignment="1" applyProtection="1">
      <alignment horizontal="center"/>
    </xf>
    <xf numFmtId="166" fontId="2" fillId="0" borderId="5" xfId="0" applyNumberFormat="1" applyFont="1" applyFill="1" applyBorder="1" applyAlignment="1" applyProtection="1">
      <alignment horizontal="center"/>
    </xf>
    <xf numFmtId="164" fontId="8" fillId="25" borderId="104" xfId="1" applyNumberFormat="1" applyFont="1" applyFill="1" applyBorder="1" applyAlignment="1" applyProtection="1">
      <alignment vertical="center"/>
      <protection hidden="1"/>
    </xf>
    <xf numFmtId="44" fontId="0" fillId="25" borderId="1" xfId="0" applyNumberFormat="1" applyFont="1" applyFill="1" applyBorder="1" applyAlignment="1" applyProtection="1">
      <alignment horizontal="center" vertical="center" wrapText="1"/>
      <protection hidden="1"/>
    </xf>
    <xf numFmtId="44" fontId="0" fillId="25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0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</cellXfs>
  <cellStyles count="2">
    <cellStyle name="Comma" xfId="1" builtinId="3"/>
    <cellStyle name="Normal" xfId="0" builtinId="0"/>
  </cellStyles>
  <dxfs count="57">
    <dxf>
      <fill>
        <patternFill patternType="none">
          <bgColor auto="1"/>
        </patternFill>
      </fill>
      <border>
        <top style="dashDot">
          <color auto="1"/>
        </top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  <border>
        <top style="dashDot">
          <color auto="1"/>
        </top>
        <vertical/>
        <horizontal/>
      </border>
    </dxf>
    <dxf>
      <fill>
        <patternFill patternType="solid">
          <bgColor theme="7" tint="0.59996337778862885"/>
        </patternFill>
      </fill>
      <border>
        <top style="dashDot">
          <color auto="1"/>
        </top>
        <vertical/>
        <horizontal/>
      </border>
    </dxf>
    <dxf>
      <fill>
        <patternFill patternType="none">
          <bgColor auto="1"/>
        </patternFill>
      </fill>
      <border>
        <top style="dashDot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theme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1"/>
      <color rgb="FFFEFF93"/>
      <color rgb="FFFFFB8D"/>
      <color rgb="FFFFC7B3"/>
      <color rgb="FFF070F1"/>
      <color rgb="FF0BF110"/>
      <color rgb="FFFFA41B"/>
      <color rgb="FFFF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28</xdr:row>
      <xdr:rowOff>12700</xdr:rowOff>
    </xdr:from>
    <xdr:to>
      <xdr:col>7</xdr:col>
      <xdr:colOff>673100</xdr:colOff>
      <xdr:row>72</xdr:row>
      <xdr:rowOff>88900</xdr:rowOff>
    </xdr:to>
    <xdr:sp macro="" textlink="">
      <xdr:nvSpPr>
        <xdr:cNvPr id="15" name="Bent-Up Arrow 14">
          <a:extLst>
            <a:ext uri="{FF2B5EF4-FFF2-40B4-BE49-F238E27FC236}">
              <a16:creationId xmlns:a16="http://schemas.microsoft.com/office/drawing/2014/main" id="{9F828691-D405-2A4B-A1C7-90B35AF56241}"/>
            </a:ext>
          </a:extLst>
        </xdr:cNvPr>
        <xdr:cNvSpPr/>
      </xdr:nvSpPr>
      <xdr:spPr>
        <a:xfrm rot="5400000">
          <a:off x="-158750" y="10826750"/>
          <a:ext cx="10096500" cy="2921000"/>
        </a:xfrm>
        <a:prstGeom prst="bentUpArrow">
          <a:avLst>
            <a:gd name="adj1" fmla="val 12295"/>
            <a:gd name="adj2" fmla="val 12680"/>
            <a:gd name="adj3" fmla="val 13193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800"/>
            <a:t>Scroll  for Rusults  -------&gt;</a:t>
          </a:r>
        </a:p>
      </xdr:txBody>
    </xdr:sp>
    <xdr:clientData/>
  </xdr:twoCellAnchor>
  <xdr:twoCellAnchor>
    <xdr:from>
      <xdr:col>6</xdr:col>
      <xdr:colOff>131680</xdr:colOff>
      <xdr:row>75</xdr:row>
      <xdr:rowOff>354264</xdr:rowOff>
    </xdr:from>
    <xdr:to>
      <xdr:col>7</xdr:col>
      <xdr:colOff>588880</xdr:colOff>
      <xdr:row>76</xdr:row>
      <xdr:rowOff>278064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C4600F-C676-5146-996F-D78CF3C3463B}"/>
            </a:ext>
          </a:extLst>
        </xdr:cNvPr>
        <xdr:cNvSpPr txBox="1"/>
      </xdr:nvSpPr>
      <xdr:spPr>
        <a:xfrm>
          <a:off x="4235785" y="14899106"/>
          <a:ext cx="1286042" cy="351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bg1"/>
              </a:solidFill>
            </a:rPr>
            <a:t>Results</a:t>
          </a:r>
        </a:p>
      </xdr:txBody>
    </xdr:sp>
    <xdr:clientData/>
  </xdr:twoCellAnchor>
  <xdr:twoCellAnchor>
    <xdr:from>
      <xdr:col>4</xdr:col>
      <xdr:colOff>190500</xdr:colOff>
      <xdr:row>71</xdr:row>
      <xdr:rowOff>190500</xdr:rowOff>
    </xdr:from>
    <xdr:to>
      <xdr:col>10</xdr:col>
      <xdr:colOff>2514600</xdr:colOff>
      <xdr:row>94</xdr:row>
      <xdr:rowOff>25400</xdr:rowOff>
    </xdr:to>
    <xdr:sp macro="" textlink="">
      <xdr:nvSpPr>
        <xdr:cNvPr id="4" name="Bent-Up Arrow 3">
          <a:extLst>
            <a:ext uri="{FF2B5EF4-FFF2-40B4-BE49-F238E27FC236}">
              <a16:creationId xmlns:a16="http://schemas.microsoft.com/office/drawing/2014/main" id="{6013CACA-067C-9144-A840-BECA1CEEE8C3}"/>
            </a:ext>
          </a:extLst>
        </xdr:cNvPr>
        <xdr:cNvSpPr/>
      </xdr:nvSpPr>
      <xdr:spPr>
        <a:xfrm rot="5400000">
          <a:off x="3721100" y="14579600"/>
          <a:ext cx="6832600" cy="7467600"/>
        </a:xfrm>
        <a:prstGeom prst="bentUpArrow">
          <a:avLst>
            <a:gd name="adj1" fmla="val 6965"/>
            <a:gd name="adj2" fmla="val 6471"/>
            <a:gd name="adj3" fmla="val 7673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297448</xdr:colOff>
      <xdr:row>91</xdr:row>
      <xdr:rowOff>7352</xdr:rowOff>
    </xdr:from>
    <xdr:to>
      <xdr:col>10</xdr:col>
      <xdr:colOff>1923048</xdr:colOff>
      <xdr:row>92</xdr:row>
      <xdr:rowOff>159753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78DD6B-40C0-214C-BBBF-3B38A491C508}"/>
            </a:ext>
          </a:extLst>
        </xdr:cNvPr>
        <xdr:cNvSpPr txBox="1"/>
      </xdr:nvSpPr>
      <xdr:spPr>
        <a:xfrm>
          <a:off x="6888748" y="21622752"/>
          <a:ext cx="3390900" cy="368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tx1"/>
              </a:solidFill>
            </a:rPr>
            <a:t>System Configuration Caclulator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DF65-547C-E24A-ADE5-31550730AC02}">
  <sheetPr codeName="Sheet1">
    <pageSetUpPr fitToPage="1"/>
  </sheetPr>
  <dimension ref="A1:BJ129"/>
  <sheetViews>
    <sheetView showGridLines="0" showRowColHeaders="0" tabSelected="1" zoomScaleNormal="100" workbookViewId="0">
      <selection activeCell="A2" sqref="A2"/>
    </sheetView>
  </sheetViews>
  <sheetFormatPr baseColWidth="10" defaultColWidth="8.83203125" defaultRowHeight="16" x14ac:dyDescent="0.2"/>
  <cols>
    <col min="1" max="1" width="6.33203125" style="2" customWidth="1"/>
    <col min="2" max="2" width="9.33203125" style="2" hidden="1" customWidth="1"/>
    <col min="3" max="3" width="9.33203125" style="2" customWidth="1"/>
    <col min="4" max="4" width="17.1640625" style="2" customWidth="1"/>
    <col min="5" max="5" width="10.5" style="2" customWidth="1"/>
    <col min="6" max="6" width="11.6640625" style="2" customWidth="1"/>
    <col min="7" max="7" width="10.83203125" style="2" customWidth="1"/>
    <col min="8" max="8" width="11.33203125" style="2" customWidth="1"/>
    <col min="9" max="9" width="10.5" style="3" customWidth="1"/>
    <col min="10" max="10" width="12.6640625" style="3" customWidth="1"/>
    <col min="11" max="11" width="35" style="2" customWidth="1"/>
    <col min="12" max="12" width="10.5" style="2" customWidth="1"/>
    <col min="13" max="13" width="15.5" style="2" customWidth="1"/>
    <col min="14" max="14" width="16.83203125" style="2" customWidth="1"/>
    <col min="15" max="15" width="12.1640625" style="2" customWidth="1"/>
    <col min="16" max="16" width="9.83203125" style="2" customWidth="1"/>
    <col min="17" max="17" width="8.33203125" style="2" customWidth="1"/>
    <col min="18" max="18" width="9.33203125" style="2" customWidth="1"/>
    <col min="19" max="19" width="14.6640625" style="2" hidden="1" customWidth="1"/>
    <col min="20" max="20" width="17.33203125" style="2" hidden="1" customWidth="1"/>
    <col min="21" max="21" width="13.1640625" style="3" hidden="1" customWidth="1"/>
    <col min="22" max="22" width="14" style="3" hidden="1" customWidth="1"/>
    <col min="23" max="23" width="12.1640625" style="3" hidden="1" customWidth="1"/>
    <col min="24" max="24" width="14" style="2" hidden="1" customWidth="1"/>
    <col min="25" max="25" width="13.83203125" style="2" hidden="1" customWidth="1"/>
    <col min="26" max="26" width="10.5" style="2" hidden="1" customWidth="1"/>
    <col min="27" max="28" width="8.1640625" style="2" hidden="1" customWidth="1"/>
    <col min="29" max="29" width="9.83203125" style="2" hidden="1" customWidth="1"/>
    <col min="30" max="30" width="6.83203125" style="2" hidden="1" customWidth="1"/>
    <col min="31" max="31" width="10.1640625" style="2" hidden="1" customWidth="1"/>
    <col min="32" max="32" width="7.6640625" style="2" hidden="1" customWidth="1"/>
    <col min="33" max="33" width="7.5" style="2" hidden="1" customWidth="1"/>
    <col min="34" max="35" width="8.1640625" style="2" hidden="1" customWidth="1"/>
    <col min="36" max="36" width="9.5" style="2" hidden="1" customWidth="1"/>
    <col min="37" max="38" width="8.5" style="2" hidden="1" customWidth="1"/>
    <col min="39" max="39" width="10.6640625" style="2" hidden="1" customWidth="1"/>
    <col min="40" max="41" width="8.83203125" style="2" hidden="1" customWidth="1"/>
    <col min="42" max="42" width="10.1640625" style="2" hidden="1" customWidth="1"/>
    <col min="43" max="53" width="8.83203125" style="2" hidden="1" customWidth="1"/>
    <col min="54" max="54" width="10.1640625" style="2" hidden="1" customWidth="1"/>
    <col min="55" max="59" width="8.83203125" style="2" hidden="1" customWidth="1"/>
    <col min="60" max="60" width="10.83203125" style="2" hidden="1" customWidth="1"/>
    <col min="61" max="62" width="8.83203125" style="2" hidden="1" customWidth="1"/>
    <col min="63" max="16384" width="8.83203125" style="2"/>
  </cols>
  <sheetData>
    <row r="1" spans="1:29" ht="7" customHeight="1" thickBot="1" x14ac:dyDescent="0.25"/>
    <row r="2" spans="1:29" ht="22" thickBot="1" x14ac:dyDescent="0.3">
      <c r="D2" s="624" t="s">
        <v>244</v>
      </c>
      <c r="E2" s="625"/>
      <c r="F2" s="625"/>
      <c r="G2" s="625"/>
      <c r="H2" s="625"/>
      <c r="I2" s="625"/>
      <c r="J2" s="626"/>
    </row>
    <row r="3" spans="1:29" ht="20" thickBot="1" x14ac:dyDescent="0.3">
      <c r="D3" s="627" t="s">
        <v>0</v>
      </c>
      <c r="E3" s="628"/>
      <c r="F3" s="628"/>
      <c r="G3" s="628"/>
      <c r="H3" s="628"/>
      <c r="I3" s="628"/>
      <c r="J3" s="629"/>
    </row>
    <row r="4" spans="1:29" ht="22" hidden="1" thickBot="1" x14ac:dyDescent="0.3">
      <c r="D4" s="4" t="s">
        <v>45</v>
      </c>
      <c r="E4" s="5"/>
      <c r="F4" s="5"/>
      <c r="G4" s="5"/>
      <c r="H4" s="5"/>
      <c r="I4" s="5"/>
      <c r="J4" s="5"/>
      <c r="K4" s="5"/>
      <c r="L4" s="6"/>
      <c r="S4" s="661" t="s">
        <v>66</v>
      </c>
      <c r="T4" s="662"/>
      <c r="U4" s="662"/>
      <c r="V4" s="662"/>
      <c r="W4" s="662"/>
      <c r="X4" s="662"/>
      <c r="Y4" s="663"/>
      <c r="Z4" s="7"/>
      <c r="AA4" s="7"/>
      <c r="AB4" s="7"/>
    </row>
    <row r="5" spans="1:29" ht="69" hidden="1" thickBot="1" x14ac:dyDescent="0.25">
      <c r="D5" s="8"/>
      <c r="E5" s="9" t="s">
        <v>54</v>
      </c>
      <c r="F5" s="9" t="s">
        <v>59</v>
      </c>
      <c r="G5" s="10" t="s">
        <v>57</v>
      </c>
      <c r="H5" s="9" t="s">
        <v>50</v>
      </c>
      <c r="I5" s="11" t="s">
        <v>51</v>
      </c>
      <c r="J5" s="9" t="s">
        <v>49</v>
      </c>
      <c r="K5" s="11" t="s">
        <v>52</v>
      </c>
      <c r="L5" s="12" t="s">
        <v>42</v>
      </c>
      <c r="S5" s="13"/>
      <c r="T5" s="14"/>
      <c r="U5" s="15" t="s">
        <v>60</v>
      </c>
      <c r="V5" s="16" t="s">
        <v>62</v>
      </c>
      <c r="W5" s="9" t="s">
        <v>63</v>
      </c>
      <c r="X5" s="9" t="s">
        <v>64</v>
      </c>
      <c r="Y5" s="17" t="s">
        <v>42</v>
      </c>
      <c r="Z5" s="18"/>
      <c r="AA5" s="18"/>
      <c r="AB5" s="18"/>
    </row>
    <row r="6" spans="1:29" hidden="1" x14ac:dyDescent="0.2">
      <c r="D6" s="19" t="s">
        <v>43</v>
      </c>
      <c r="E6" s="10">
        <v>3</v>
      </c>
      <c r="F6" s="10">
        <v>4</v>
      </c>
      <c r="G6" s="231">
        <f>E6*F6</f>
        <v>12</v>
      </c>
      <c r="H6" s="10">
        <v>16</v>
      </c>
      <c r="I6" s="231">
        <f>H6*E6</f>
        <v>48</v>
      </c>
      <c r="J6" s="10">
        <v>120</v>
      </c>
      <c r="K6" s="231">
        <f>J6*E6</f>
        <v>360</v>
      </c>
      <c r="L6" s="17"/>
      <c r="S6" s="8" t="s">
        <v>61</v>
      </c>
      <c r="T6" s="10"/>
      <c r="U6" s="20">
        <v>1</v>
      </c>
      <c r="V6" s="20">
        <v>12</v>
      </c>
      <c r="W6" s="10">
        <v>48</v>
      </c>
      <c r="X6" s="10">
        <v>360</v>
      </c>
      <c r="Y6" s="21"/>
      <c r="Z6" s="22"/>
      <c r="AA6" s="22"/>
      <c r="AB6" s="22"/>
    </row>
    <row r="7" spans="1:29" hidden="1" x14ac:dyDescent="0.2">
      <c r="D7" s="23" t="s">
        <v>44</v>
      </c>
      <c r="E7" s="18">
        <v>2</v>
      </c>
      <c r="F7" s="18">
        <v>2</v>
      </c>
      <c r="G7" s="232">
        <f>E7*F7</f>
        <v>4</v>
      </c>
      <c r="H7" s="18">
        <v>8</v>
      </c>
      <c r="I7" s="232">
        <f>H7*E7</f>
        <v>16</v>
      </c>
      <c r="J7" s="18">
        <v>120</v>
      </c>
      <c r="K7" s="232">
        <f>J7*E7</f>
        <v>240</v>
      </c>
      <c r="L7" s="24"/>
      <c r="S7" s="25" t="s">
        <v>38</v>
      </c>
      <c r="T7" s="18"/>
      <c r="U7" s="7">
        <v>1</v>
      </c>
      <c r="V7" s="7">
        <v>4</v>
      </c>
      <c r="W7" s="18">
        <v>16</v>
      </c>
      <c r="X7" s="18">
        <v>240</v>
      </c>
      <c r="Y7" s="26"/>
      <c r="Z7" s="18"/>
      <c r="AA7" s="18"/>
      <c r="AB7" s="18"/>
    </row>
    <row r="8" spans="1:29" ht="17" hidden="1" thickBot="1" x14ac:dyDescent="0.25">
      <c r="D8" s="27" t="s">
        <v>53</v>
      </c>
      <c r="E8" s="28">
        <v>1</v>
      </c>
      <c r="F8" s="28">
        <v>4</v>
      </c>
      <c r="G8" s="233">
        <f>E8*F8</f>
        <v>4</v>
      </c>
      <c r="H8" s="28">
        <v>64</v>
      </c>
      <c r="I8" s="233">
        <f>H8*E8</f>
        <v>64</v>
      </c>
      <c r="J8" s="28">
        <v>115</v>
      </c>
      <c r="K8" s="233">
        <f>J8*E8</f>
        <v>115</v>
      </c>
      <c r="L8" s="29">
        <v>1</v>
      </c>
      <c r="S8" s="30" t="s">
        <v>65</v>
      </c>
      <c r="T8" s="28"/>
      <c r="U8" s="31">
        <v>1</v>
      </c>
      <c r="V8" s="31">
        <v>4</v>
      </c>
      <c r="W8" s="28">
        <v>64</v>
      </c>
      <c r="X8" s="28">
        <v>115</v>
      </c>
      <c r="Y8" s="32">
        <v>1</v>
      </c>
      <c r="Z8" s="18"/>
      <c r="AA8" s="18"/>
      <c r="AB8" s="18"/>
    </row>
    <row r="9" spans="1:29" ht="17" hidden="1" thickBot="1" x14ac:dyDescent="0.25">
      <c r="D9" s="33" t="s">
        <v>39</v>
      </c>
      <c r="E9" s="34">
        <v>1</v>
      </c>
      <c r="F9" s="34">
        <v>4</v>
      </c>
      <c r="G9" s="234">
        <f>E9*F9</f>
        <v>4</v>
      </c>
      <c r="H9" s="34">
        <v>16</v>
      </c>
      <c r="I9" s="234">
        <f>H9*E9</f>
        <v>16</v>
      </c>
      <c r="J9" s="34">
        <v>120</v>
      </c>
      <c r="K9" s="234">
        <f>J9*E9</f>
        <v>120</v>
      </c>
      <c r="L9" s="35"/>
      <c r="U9" s="2"/>
      <c r="AC9" s="36"/>
    </row>
    <row r="10" spans="1:29" ht="17" hidden="1" thickBot="1" x14ac:dyDescent="0.25">
      <c r="D10" s="37" t="s">
        <v>41</v>
      </c>
      <c r="E10" s="235">
        <f>IF(E13="Y",IF($E$26="Y",E6+E7+E8,E6+E7),IF($E$26="Y",E6+E7+E8,E6+E7)-3)</f>
        <v>5</v>
      </c>
      <c r="F10" s="235">
        <f>IF($E$26="Y",F6+F7+F8,F6+F7)</f>
        <v>6</v>
      </c>
      <c r="G10" s="235">
        <f>IF($E$26="Y",G6+G7+G8,G6+G7)</f>
        <v>16</v>
      </c>
      <c r="H10" s="235">
        <f>IF($E$26="Y",H6+H7+H8,H6+H7)</f>
        <v>24</v>
      </c>
      <c r="I10" s="235">
        <f>IF($E$26="Y",I6+I7+I8,I6+I7)</f>
        <v>64</v>
      </c>
      <c r="J10" s="235">
        <f>IF($E$26="Y",J6+J7+J8,J6+J7)</f>
        <v>240</v>
      </c>
      <c r="K10" s="235">
        <f>IF($E$26="Y",K6+K7+K8,K6+K7)</f>
        <v>600</v>
      </c>
      <c r="L10" s="236">
        <f>IF($E$26="Y",L6+L7+L8,L6+L7)</f>
        <v>0</v>
      </c>
      <c r="U10" s="2"/>
    </row>
    <row r="11" spans="1:29" hidden="1" x14ac:dyDescent="0.2">
      <c r="E11" s="38" t="s">
        <v>74</v>
      </c>
    </row>
    <row r="12" spans="1:29" ht="17" thickBot="1" x14ac:dyDescent="0.25">
      <c r="E12" s="38"/>
    </row>
    <row r="13" spans="1:29" ht="20" customHeight="1" x14ac:dyDescent="0.2">
      <c r="A13" s="630" t="s">
        <v>218</v>
      </c>
      <c r="B13" s="631"/>
      <c r="C13" s="631"/>
      <c r="D13" s="632"/>
      <c r="E13" s="412" t="s">
        <v>36</v>
      </c>
      <c r="G13" s="639" t="s">
        <v>143</v>
      </c>
      <c r="H13" s="640"/>
      <c r="I13" s="639" t="s">
        <v>142</v>
      </c>
      <c r="J13" s="640"/>
      <c r="K13" s="641"/>
      <c r="L13" s="655" t="s">
        <v>171</v>
      </c>
      <c r="M13" s="656"/>
      <c r="N13"/>
      <c r="O13"/>
    </row>
    <row r="14" spans="1:29" ht="20" customHeight="1" thickBot="1" x14ac:dyDescent="0.25">
      <c r="A14" s="633" t="s">
        <v>214</v>
      </c>
      <c r="B14" s="634"/>
      <c r="C14" s="634"/>
      <c r="D14" s="635"/>
      <c r="E14" s="413" t="s">
        <v>37</v>
      </c>
      <c r="G14" s="642"/>
      <c r="H14" s="643"/>
      <c r="I14" s="642"/>
      <c r="J14" s="643"/>
      <c r="K14" s="644"/>
      <c r="L14" s="657"/>
      <c r="M14" s="658"/>
      <c r="N14"/>
      <c r="O14"/>
    </row>
    <row r="15" spans="1:29" ht="20" customHeight="1" x14ac:dyDescent="0.2">
      <c r="A15" s="636" t="s">
        <v>215</v>
      </c>
      <c r="B15" s="637"/>
      <c r="C15" s="637"/>
      <c r="D15" s="638"/>
      <c r="E15" s="412" t="s">
        <v>37</v>
      </c>
      <c r="G15" s="642"/>
      <c r="H15" s="643"/>
      <c r="I15" s="642"/>
      <c r="J15" s="643"/>
      <c r="K15" s="644"/>
      <c r="L15" s="657"/>
      <c r="M15" s="658"/>
      <c r="N15"/>
      <c r="O15"/>
    </row>
    <row r="16" spans="1:29" ht="18" customHeight="1" x14ac:dyDescent="0.2">
      <c r="A16" s="651" t="s">
        <v>216</v>
      </c>
      <c r="B16" s="652"/>
      <c r="C16" s="652"/>
      <c r="D16" s="652"/>
      <c r="E16" s="762" t="s">
        <v>109</v>
      </c>
      <c r="G16" s="645"/>
      <c r="H16" s="646"/>
      <c r="I16" s="645"/>
      <c r="J16" s="646"/>
      <c r="K16" s="647"/>
      <c r="L16" s="659"/>
      <c r="M16" s="660"/>
      <c r="N16"/>
      <c r="O16"/>
    </row>
    <row r="17" spans="1:34" ht="20" customHeight="1" thickBot="1" x14ac:dyDescent="0.25">
      <c r="A17" s="648" t="s">
        <v>217</v>
      </c>
      <c r="B17" s="649"/>
      <c r="C17" s="649"/>
      <c r="D17" s="650"/>
      <c r="E17" s="761" t="s">
        <v>37</v>
      </c>
      <c r="I17" s="2"/>
      <c r="J17" s="2"/>
    </row>
    <row r="18" spans="1:34" ht="20" customHeight="1" thickBot="1" x14ac:dyDescent="0.25">
      <c r="I18" s="2"/>
      <c r="J18" s="2"/>
    </row>
    <row r="19" spans="1:34" ht="20" thickBot="1" x14ac:dyDescent="0.3">
      <c r="D19" s="39" t="s">
        <v>3</v>
      </c>
      <c r="E19" s="40"/>
      <c r="F19" s="561" t="s">
        <v>76</v>
      </c>
      <c r="G19" s="563"/>
      <c r="H19" s="561" t="s">
        <v>79</v>
      </c>
      <c r="I19" s="563"/>
      <c r="J19" s="41"/>
      <c r="K19" s="566" t="s">
        <v>4</v>
      </c>
      <c r="L19" s="411" t="str">
        <f>IF(AND(J21&gt;0,E16="One for All"),"Error:  One for All +  Individual Dev Env Entered","")</f>
        <v/>
      </c>
      <c r="M19" s="40"/>
      <c r="N19" s="40"/>
      <c r="O19" s="40"/>
      <c r="P19" s="40"/>
    </row>
    <row r="20" spans="1:34" ht="20" thickBot="1" x14ac:dyDescent="0.3">
      <c r="D20" s="42"/>
      <c r="E20" s="43" t="s">
        <v>7</v>
      </c>
      <c r="F20" s="93" t="s">
        <v>9</v>
      </c>
      <c r="G20" s="353" t="s">
        <v>8</v>
      </c>
      <c r="H20" s="365" t="s">
        <v>9</v>
      </c>
      <c r="I20" s="353" t="s">
        <v>8</v>
      </c>
      <c r="J20" s="137" t="s">
        <v>99</v>
      </c>
      <c r="K20" s="618"/>
      <c r="L20" s="406"/>
      <c r="M20" s="422" t="s">
        <v>18</v>
      </c>
      <c r="N20" s="44" t="s">
        <v>31</v>
      </c>
      <c r="O20" s="44" t="s">
        <v>47</v>
      </c>
      <c r="P20" s="45" t="s">
        <v>42</v>
      </c>
      <c r="S20" s="46" t="s">
        <v>55</v>
      </c>
      <c r="T20" s="47"/>
      <c r="U20" s="47"/>
      <c r="V20" s="47"/>
      <c r="W20" s="47"/>
      <c r="X20" s="47"/>
      <c r="Y20" s="48"/>
      <c r="Z20" s="49"/>
      <c r="AA20" s="49"/>
      <c r="AB20" s="49"/>
    </row>
    <row r="21" spans="1:34" ht="19" customHeight="1" thickBot="1" x14ac:dyDescent="0.25">
      <c r="C21" s="577" t="s">
        <v>12</v>
      </c>
      <c r="D21" s="354" t="s">
        <v>5</v>
      </c>
      <c r="E21" s="355" t="s">
        <v>37</v>
      </c>
      <c r="F21" s="360" t="s">
        <v>117</v>
      </c>
      <c r="G21" s="1">
        <v>0</v>
      </c>
      <c r="H21" s="437"/>
      <c r="I21" s="438"/>
      <c r="J21" s="439">
        <v>0</v>
      </c>
      <c r="K21" s="443" t="str">
        <f>IF(AND(E21="N",J21&gt;0),"Manage Must be Y",IF(E21="Y",IF(G21&lt;=U23,"Xsmall/Min",IF(G21&lt;=V23,"Small",IF(G21&lt;=W23,"Medium",IF(G21&lt;=X23,"Large","Beyond Large")))),"None"))</f>
        <v>None</v>
      </c>
      <c r="L21" s="407"/>
      <c r="M21" s="447">
        <f>IF($E$21="Y",IF($K$21="xSmall/Min",V46,IF($K$21="Small",V47,IF($K$21="Medium",V48,IF($K$21="Large",V49,V50)))),0)</f>
        <v>0</v>
      </c>
      <c r="N21" s="447">
        <f>IF($E$21="Y",IF($K$21="Xsmall/Min",W46,IF($K$21="Small",W47,IF($K$21="Medium",W48,IF($K$21="Large",W49,W50)))),0)</f>
        <v>0</v>
      </c>
      <c r="O21" s="447">
        <f>IF($E$21="Y",IF($K$21="Xsmall/Min",X46,IF($K$21="Small",X47,IF($K$21="Medium",X48,IF($K$21="Large",X49,X50)))),0)</f>
        <v>0</v>
      </c>
      <c r="P21" s="448"/>
      <c r="S21" s="13"/>
      <c r="T21" s="51"/>
      <c r="U21" s="52" t="s">
        <v>122</v>
      </c>
      <c r="V21" s="53"/>
      <c r="W21" s="53"/>
      <c r="X21" s="53"/>
      <c r="Y21" s="54"/>
      <c r="Z21" s="55"/>
      <c r="AA21" s="55"/>
      <c r="AB21" s="55"/>
    </row>
    <row r="22" spans="1:34" ht="20" thickBot="1" x14ac:dyDescent="0.25">
      <c r="C22" s="578"/>
      <c r="D22" s="356" t="s">
        <v>10</v>
      </c>
      <c r="E22" s="357" t="s">
        <v>37</v>
      </c>
      <c r="F22" s="361" t="s">
        <v>118</v>
      </c>
      <c r="G22" s="362">
        <v>0</v>
      </c>
      <c r="H22" s="361" t="s">
        <v>117</v>
      </c>
      <c r="I22" s="362">
        <v>0</v>
      </c>
      <c r="J22" s="440">
        <v>0</v>
      </c>
      <c r="K22" s="443" t="str">
        <f>IF(AND(E22="N",J22&gt;0),"Monitor Must be Y",IF(E22="Y",IF(AND(G22&lt;=U24,I22&lt;=U26),"Xsmall/Min",IF(AND(G22&lt;=V24,I22&lt;=V26),"Small",IF(AND(G22&lt;=W24,I22&lt;=W26),"Medium",IF(AND(G22&lt;=X24,I22&lt;X26),"Large","Beyond Large")))),"None"))</f>
        <v>None</v>
      </c>
      <c r="L22" s="407"/>
      <c r="M22" s="237">
        <f>IF($E$22="Y",IF($K$22="Xsmall/Min",V52,IF($K$22="Small",V53,IF($K$22="Medium",V54,IF($K$22="Large",V55,V56)))),0)</f>
        <v>0</v>
      </c>
      <c r="N22" s="237">
        <f>IF($E$22="Y",IF($K$22="Xsmall/Min",W52,IF($K$22="Small",W53,IF($K$22="Medium",W54,IF($K$22="Large",W55,W56)))),0)</f>
        <v>0</v>
      </c>
      <c r="O22" s="237">
        <f>IF($E$22="Y",IF($K$22="Xsmall/Min",X52,IF($K$22="Small",X53,IF($K$22="Medium",X54,IF($K$22="Large",X55,X56)))),0)</f>
        <v>0</v>
      </c>
      <c r="P22" s="449"/>
      <c r="S22" s="57"/>
      <c r="T22" s="58" t="s">
        <v>56</v>
      </c>
      <c r="U22" s="59" t="s">
        <v>119</v>
      </c>
      <c r="V22" s="58" t="s">
        <v>20</v>
      </c>
      <c r="W22" s="58" t="s">
        <v>1</v>
      </c>
      <c r="X22" s="60" t="s">
        <v>2</v>
      </c>
      <c r="Y22" s="58" t="s">
        <v>58</v>
      </c>
      <c r="Z22" s="61"/>
      <c r="AA22" s="61"/>
      <c r="AB22" s="61"/>
    </row>
    <row r="23" spans="1:34" ht="19" customHeight="1" thickBot="1" x14ac:dyDescent="0.25">
      <c r="C23" s="578"/>
      <c r="D23" s="358" t="s">
        <v>13</v>
      </c>
      <c r="E23" s="357" t="s">
        <v>37</v>
      </c>
      <c r="F23" s="361" t="s">
        <v>117</v>
      </c>
      <c r="G23" s="362">
        <v>0</v>
      </c>
      <c r="H23" s="361" t="s">
        <v>75</v>
      </c>
      <c r="I23" s="362">
        <v>0</v>
      </c>
      <c r="J23" s="440">
        <v>0</v>
      </c>
      <c r="K23" s="443" t="str">
        <f>IF(AND(E23="N",J23&gt;0),"Health Must be Y",IF(E23="Y",IF(AND(G23&lt;=U27,I23&lt;=U28),"Xsmall/Min",IF(AND(G23&lt;=V27,I23&lt;=V28),"Small",IF(AND(G23&lt;=W27,I23&lt;=W28),"Medium",IF(AND(G23&lt;=X27,I23&lt;=X28),"Large","Beyond Large")))),"None"))</f>
        <v>None</v>
      </c>
      <c r="L23" s="407"/>
      <c r="M23" s="237">
        <f>IF($E$23="Y",IF($K$23="Xsmall/Min",V58,IF($K$23="Small",V59,IF($K$23="Medium",V60,IF($K$23="Large",V61,V62)))),0)</f>
        <v>0</v>
      </c>
      <c r="N23" s="237">
        <f>IF($E$23="Y",IF($K$23="Xsmall/Min",W58,IF($K$23="Small",W59,IF($K$23="Medium",W60,IF($K$23="Large",W61,W62)))),0)</f>
        <v>0</v>
      </c>
      <c r="O23" s="237">
        <f>IF($E$23="Y",IF($K$23="Xsmall/Min",X58,IF($K$23="Small",X59,IF($K$23="Medium",X60,IF($K$23="Large",X61,X62)))),0)</f>
        <v>0</v>
      </c>
      <c r="P23" s="449"/>
      <c r="S23" s="62" t="s">
        <v>5</v>
      </c>
      <c r="T23" s="76" t="s">
        <v>6</v>
      </c>
      <c r="U23" s="160">
        <v>50</v>
      </c>
      <c r="V23" s="63">
        <v>100</v>
      </c>
      <c r="W23" s="64">
        <v>250</v>
      </c>
      <c r="X23" s="64">
        <v>500</v>
      </c>
      <c r="Y23" s="247">
        <f t="shared" ref="Y23:Y30" si="0">X23+W23</f>
        <v>750</v>
      </c>
      <c r="Z23" s="36"/>
      <c r="AA23" s="36"/>
      <c r="AB23" s="36"/>
    </row>
    <row r="24" spans="1:34" ht="18" customHeight="1" x14ac:dyDescent="0.2">
      <c r="C24" s="578"/>
      <c r="D24" s="356" t="s">
        <v>14</v>
      </c>
      <c r="E24" s="359" t="s">
        <v>37</v>
      </c>
      <c r="F24" s="361" t="s">
        <v>145</v>
      </c>
      <c r="G24" s="363">
        <f>'Predict Data Points'!D21</f>
        <v>3285000</v>
      </c>
      <c r="H24" s="366"/>
      <c r="I24" s="367"/>
      <c r="J24" s="440">
        <v>0</v>
      </c>
      <c r="K24" s="444" t="str">
        <f>IF(AND(E24="N",J24&gt;0),"Predict Must be Y",IF(E24="Y",IF(OR(E22="N",E23="N"),"Invalid-Predict Requires Monitor &amp; Health",IF(AND(G24&lt;=U30,I24&lt;=U31),"Xsmall/Min",IF(AND(G24&lt;=V30,I24&lt;=V31),"Small",IF(AND(G24&lt;=W30,I24&lt;=W31),"Medium",IF(AND(G24&lt;=X30,I24&lt;=X31),"Large","Beyond Large"))))),"None"))</f>
        <v>None</v>
      </c>
      <c r="L24" s="407"/>
      <c r="M24" s="237">
        <f>IF($E$24="Y",IF(OR(E22="N",E23="N"),"Error",IF($K$24="Xsmall/Min",V64,IF($K$24="Small",V65,IF($K$24="Medium",V66,IF($K$24="Large",V67,V68))))),0)</f>
        <v>0</v>
      </c>
      <c r="N24" s="237">
        <f>IF($E$24="Y",IF(OR(E22="N",E23="N"),"Error",IF($K$24="Xsmall/Min",W64,IF($K$24="Small",W65,IF($K$24="Medium",W66,IF($K$24="Large",W67,W68))))),0)</f>
        <v>0</v>
      </c>
      <c r="O24" s="237">
        <f>IF($E$24="Y",IF(OR(E22="N",E23="N"),"Error",IF($K$24="Xsmall/Min",X64,IF($K$24="Small",X65,IF($K$24="Medium",X66,IF($K$24="Large",X67,X68))))),0)</f>
        <v>0</v>
      </c>
      <c r="P24" s="449"/>
      <c r="S24" s="580" t="s">
        <v>10</v>
      </c>
      <c r="T24" s="65" t="s">
        <v>11</v>
      </c>
      <c r="U24" s="66">
        <v>1000</v>
      </c>
      <c r="V24" s="159">
        <v>5000</v>
      </c>
      <c r="W24" s="66">
        <v>50000</v>
      </c>
      <c r="X24" s="66">
        <v>300000</v>
      </c>
      <c r="Y24" s="248">
        <f t="shared" si="0"/>
        <v>350000</v>
      </c>
      <c r="Z24" s="36"/>
      <c r="AA24" s="36"/>
      <c r="AB24" s="36"/>
    </row>
    <row r="25" spans="1:34" ht="18" customHeight="1" x14ac:dyDescent="0.2">
      <c r="C25" s="578"/>
      <c r="D25" s="356" t="s">
        <v>242</v>
      </c>
      <c r="E25" s="359" t="s">
        <v>37</v>
      </c>
      <c r="F25" s="361" t="s">
        <v>243</v>
      </c>
      <c r="G25" s="362">
        <v>0</v>
      </c>
      <c r="H25" s="366"/>
      <c r="I25" s="367"/>
      <c r="J25" s="440">
        <v>0</v>
      </c>
      <c r="K25" s="443" t="str">
        <f>IF(AND(E25="N",J25&gt;0),"H&amp;P - Utilities Must be Y",IF(AND(E25="Y",E23="N"),"H &amp; P - Utilities Requires Health",IF(E25="Y",IF(G25&lt;=U39,"Xsmall/Min",IF(G25&lt;=V39,"Small",IF(G25&lt;=W39,"Medium",IF(G25&lt;=X39,"Large","Beyond Large")))),"None")))</f>
        <v>None</v>
      </c>
      <c r="L25" s="407"/>
      <c r="M25" s="237">
        <f>IF($E$25="Y",IF($E$23="N","Error",IF($K$25="Xsmall/Min",V88,IF($K$25="Small",V89,IF($K$25="Medium",V90,IF($K$25="Large",V91,V92))))),0)</f>
        <v>0</v>
      </c>
      <c r="N25" s="237">
        <f>IF($E$25="Y",IF($E$23="N","Error",IF($K$25="Xsmall/Min",W88,IF($K$25="Small",W89,IF($K$25="Medium",W90,IF($K$25="Large",W91,W92))))),0)</f>
        <v>0</v>
      </c>
      <c r="O25" s="711">
        <f>IF($E$25="Y",IF($E$23="N","Error",IF($K$25="Xsmall/Min",X88,IF($K$25="Small",X89,IF($K$25="Medium",X90,IF($K$25="Large",X91,X92))))),0)</f>
        <v>0</v>
      </c>
      <c r="P25" s="717"/>
      <c r="S25" s="581"/>
      <c r="T25" s="77"/>
      <c r="U25" s="712"/>
      <c r="V25" s="713"/>
      <c r="W25" s="714"/>
      <c r="X25" s="713"/>
      <c r="Y25" s="249"/>
      <c r="Z25" s="36"/>
      <c r="AA25" s="36"/>
      <c r="AB25" s="36"/>
    </row>
    <row r="26" spans="1:34" ht="19" customHeight="1" thickBot="1" x14ac:dyDescent="0.25">
      <c r="C26" s="578"/>
      <c r="D26" s="431" t="s">
        <v>69</v>
      </c>
      <c r="E26" s="430" t="s">
        <v>37</v>
      </c>
      <c r="F26" s="361" t="s">
        <v>117</v>
      </c>
      <c r="G26" s="362">
        <v>0</v>
      </c>
      <c r="H26" s="366"/>
      <c r="I26" s="436"/>
      <c r="J26" s="440">
        <v>0</v>
      </c>
      <c r="K26" s="443" t="str">
        <f>IF(AND(E26="N",J26&gt;0),"Visual Inspection Must be Y",IF(E26="Y",IF(G26&lt;=U32,"Xsmall/Min",IF(G26&lt;=V32,"Small",IF(G26&lt;=W32,"Medium",IF(G26&lt;=X32,"Large","Beyond Large")))),"None"))</f>
        <v>None</v>
      </c>
      <c r="L26" s="407"/>
      <c r="M26" s="237">
        <f>IF($E$26="Y",IF($K$26="Xsmall/Min",V70,IF($K$26="Small",V71,IF($K$26="Medium",V72,IF($K$26="Large",V73,V74)))),0)</f>
        <v>0</v>
      </c>
      <c r="N26" s="237">
        <f>IF($E$26="Y",IF($K$26="Xsmall/Min",W70,IF($K$26="Small",W71,IF($K$26="Medium",W72,IF($K$26="Large",W73,W74)))),0)</f>
        <v>0</v>
      </c>
      <c r="O26" s="451">
        <f>IF($E$26="Y",IF($K$26="Xsmall/Min",X70,IF($K$26="Small",X71,IF($K$26="Medium",X72,IF($K$26="Large",X73,X74)))),0)</f>
        <v>0</v>
      </c>
      <c r="P26" s="445">
        <f>IF($E$26="Y",IF($K$26="Xsmall/Min",Y70,IF($K$26="Small",Y71,IF($K$26="Medium",Y72,IF($K$26="Large",Y73,Y74)))),0)</f>
        <v>0</v>
      </c>
      <c r="S26" s="582"/>
      <c r="T26" s="67" t="s">
        <v>6</v>
      </c>
      <c r="U26" s="68">
        <v>1</v>
      </c>
      <c r="V26" s="69">
        <v>10</v>
      </c>
      <c r="W26" s="69">
        <v>40</v>
      </c>
      <c r="X26" s="72">
        <v>60</v>
      </c>
      <c r="Y26" s="249">
        <f t="shared" si="0"/>
        <v>100</v>
      </c>
      <c r="Z26" s="70"/>
      <c r="AA26" s="70"/>
      <c r="AB26" s="70"/>
    </row>
    <row r="27" spans="1:34" ht="19" x14ac:dyDescent="0.2">
      <c r="C27" s="578"/>
      <c r="D27" s="431" t="s">
        <v>222</v>
      </c>
      <c r="E27" s="430" t="s">
        <v>37</v>
      </c>
      <c r="F27" s="361" t="s">
        <v>117</v>
      </c>
      <c r="G27" s="434">
        <v>0</v>
      </c>
      <c r="H27" s="366"/>
      <c r="I27" s="436"/>
      <c r="J27" s="441">
        <v>0</v>
      </c>
      <c r="K27" s="443" t="str">
        <f>IF(AND(E27="N",J27&gt;0),"Assist Must be Y",IF(E27="Y",IF(G27&lt;=U33,"Xsmall/Min",IF(G27&lt;=V33,"Small",IF(G27&lt;=W33,"Medium",IF(G27&lt;=X33,"Large","Beyond Large")))),"None"))</f>
        <v>None</v>
      </c>
      <c r="L27" s="23"/>
      <c r="M27" s="237">
        <f>IF($E$27="Y",IF($K$27="Xsmall/Min",V76,IF($K$27="Small",V77,IF($K$27="Medium",V78,IF($K$27="Large",V79,V80)))),0)</f>
        <v>0</v>
      </c>
      <c r="N27" s="471">
        <f>IF($E$27="Y",IF($K$27="Xsmall/Min",W76,IF($K$27="Small",W77,IF($K$27="Medium",W78,IF($K$27="Large",W79,W80)))),0)</f>
        <v>0</v>
      </c>
      <c r="O27" s="471">
        <f>IF($E$27="Y",IF($K$27="Xsmall/Min",X76,IF($K$27="Small",X77,IF($K$27="Medium",X78,IF($K$27="Large",X79,X80)))),0)</f>
        <v>0</v>
      </c>
      <c r="P27" s="449"/>
      <c r="S27" s="580" t="s">
        <v>13</v>
      </c>
      <c r="T27" s="65" t="s">
        <v>6</v>
      </c>
      <c r="U27" s="66">
        <v>1</v>
      </c>
      <c r="V27" s="159">
        <v>5</v>
      </c>
      <c r="W27" s="66">
        <v>15</v>
      </c>
      <c r="X27" s="66">
        <v>35</v>
      </c>
      <c r="Y27" s="248">
        <f t="shared" si="0"/>
        <v>50</v>
      </c>
      <c r="Z27" s="36"/>
      <c r="AA27" s="36"/>
      <c r="AB27" s="36"/>
    </row>
    <row r="28" spans="1:34" ht="21" customHeight="1" thickBot="1" x14ac:dyDescent="0.25">
      <c r="C28" s="579"/>
      <c r="D28" s="432" t="s">
        <v>223</v>
      </c>
      <c r="E28" s="433" t="s">
        <v>37</v>
      </c>
      <c r="F28" s="435" t="s">
        <v>225</v>
      </c>
      <c r="G28" s="218">
        <v>0</v>
      </c>
      <c r="H28" s="364" t="s">
        <v>118</v>
      </c>
      <c r="I28" s="218">
        <v>0</v>
      </c>
      <c r="J28" s="442">
        <v>0</v>
      </c>
      <c r="K28" s="443" t="str">
        <f>IF(AND(E28="N",J28&gt;0),"Safety Must be Y",IF(E28="Y",IF(AND(G28&lt;=U35,I28&lt;=U36),"Xsmall/Min",IF(AND(G28&lt;=V35,I28&lt;=V36),"Small",IF(AND(G28&lt;=W35,I28&lt;=W36),"Medium",IF(AND(G28&lt;=X35,I28&lt;X36),"Large","Beyond Large")))),"None"))</f>
        <v>None</v>
      </c>
      <c r="L28" s="446"/>
      <c r="M28" s="237">
        <f>IF($E$28="Y",IF($K$28="Xsmall/Min",V82,IF($K$28="Small",V83,IF($K$28="Medium",V84,IF($K$28="Large",V85,V86)))),0)</f>
        <v>0</v>
      </c>
      <c r="N28" s="471">
        <f>IF($E$28="Y",IF($K$28="Xsmall/Min",W82,IF($K$28="Small",W83,IF($K$28="Medium",W84,IF($K$28="Large",W85,W86)))),0)</f>
        <v>0</v>
      </c>
      <c r="O28" s="471">
        <f>IF($E$28="Y",IF($K$28="Xsmall/Min",X82,IF($K$28="Small",X83,IF($K$28="Medium",X84,IF($K$28="Large",X85,X86)))),0)</f>
        <v>0</v>
      </c>
      <c r="P28" s="450"/>
      <c r="S28" s="581"/>
      <c r="T28" s="67" t="s">
        <v>75</v>
      </c>
      <c r="U28" s="69">
        <v>500</v>
      </c>
      <c r="V28" s="69">
        <v>3000</v>
      </c>
      <c r="W28" s="69">
        <v>20000</v>
      </c>
      <c r="X28" s="72">
        <v>50000</v>
      </c>
      <c r="Y28" s="249">
        <f t="shared" si="0"/>
        <v>70000</v>
      </c>
      <c r="Z28" s="70"/>
      <c r="AB28" s="70"/>
      <c r="AF28" s="2" t="s">
        <v>258</v>
      </c>
    </row>
    <row r="29" spans="1:34" ht="17" thickBot="1" x14ac:dyDescent="0.25">
      <c r="F29" s="71"/>
      <c r="H29" s="40"/>
      <c r="I29" s="41"/>
      <c r="J29" s="41"/>
      <c r="K29" s="564" t="s">
        <v>73</v>
      </c>
      <c r="L29" s="565"/>
      <c r="M29" s="238">
        <f>SUM(M21:M28)</f>
        <v>0</v>
      </c>
      <c r="N29" s="238">
        <f>SUM(N21:N28)</f>
        <v>0</v>
      </c>
      <c r="O29" s="238">
        <f>SUM(O21:O28)</f>
        <v>0</v>
      </c>
      <c r="P29" s="239">
        <f>SUM(P21:P28)</f>
        <v>0</v>
      </c>
      <c r="S29" s="580" t="s">
        <v>14</v>
      </c>
      <c r="T29" s="228" t="s">
        <v>166</v>
      </c>
      <c r="U29" s="66">
        <v>100</v>
      </c>
      <c r="V29" s="159">
        <v>12500</v>
      </c>
      <c r="W29" s="66">
        <v>85000</v>
      </c>
      <c r="X29" s="66">
        <v>210000</v>
      </c>
      <c r="Y29" s="248">
        <f t="shared" si="0"/>
        <v>295000</v>
      </c>
      <c r="Z29" s="36"/>
      <c r="AA29" s="70"/>
      <c r="AB29" s="36"/>
    </row>
    <row r="30" spans="1:34" ht="15" customHeight="1" x14ac:dyDescent="0.2">
      <c r="H30" s="40"/>
      <c r="I30" s="40"/>
      <c r="J30" s="40"/>
      <c r="K30" s="40"/>
      <c r="L30" s="40"/>
      <c r="M30" s="40"/>
      <c r="N30" s="40"/>
      <c r="O30" s="40"/>
      <c r="P30" s="40"/>
      <c r="S30" s="581"/>
      <c r="T30" s="229" t="s">
        <v>165</v>
      </c>
      <c r="U30" s="240">
        <f>V30/20</f>
        <v>164250</v>
      </c>
      <c r="V30" s="241">
        <f>W30/20</f>
        <v>3285000</v>
      </c>
      <c r="W30" s="203">
        <v>65700000</v>
      </c>
      <c r="X30" s="204">
        <v>821500000</v>
      </c>
      <c r="Y30" s="250">
        <f t="shared" si="0"/>
        <v>887200000</v>
      </c>
      <c r="Z30" s="70"/>
      <c r="AA30" s="36"/>
      <c r="AB30" s="70"/>
      <c r="AF30" s="2" t="s">
        <v>18</v>
      </c>
      <c r="AG30" s="2" t="s">
        <v>259</v>
      </c>
      <c r="AH30" s="2" t="s">
        <v>67</v>
      </c>
    </row>
    <row r="31" spans="1:34" ht="16" customHeight="1" thickBot="1" x14ac:dyDescent="0.25">
      <c r="H31" s="40"/>
      <c r="I31" s="40"/>
      <c r="J31" s="40"/>
      <c r="K31" s="40"/>
      <c r="L31" s="40"/>
      <c r="M31" s="40"/>
      <c r="N31" s="40"/>
      <c r="O31" s="40"/>
      <c r="P31" s="40"/>
      <c r="S31" s="582"/>
      <c r="T31" s="230" t="s">
        <v>6</v>
      </c>
      <c r="U31" s="69">
        <v>1</v>
      </c>
      <c r="V31" s="72">
        <v>2</v>
      </c>
      <c r="W31" s="72">
        <v>10</v>
      </c>
      <c r="X31" s="72">
        <v>35</v>
      </c>
      <c r="Y31" s="251">
        <f t="shared" ref="Y31:Y36" si="1">X31+W31</f>
        <v>45</v>
      </c>
      <c r="Z31" s="77"/>
      <c r="AA31" s="77"/>
      <c r="AB31" s="77"/>
      <c r="AE31" s="763" t="s">
        <v>120</v>
      </c>
      <c r="AF31" s="2">
        <v>7</v>
      </c>
      <c r="AG31" s="2">
        <v>33</v>
      </c>
      <c r="AH31" s="2">
        <v>0</v>
      </c>
    </row>
    <row r="32" spans="1:34" ht="16" customHeight="1" thickBot="1" x14ac:dyDescent="0.25">
      <c r="H32" s="40"/>
      <c r="I32" s="41"/>
      <c r="J32" s="41"/>
      <c r="K32" s="566" t="s">
        <v>98</v>
      </c>
      <c r="L32" s="40"/>
      <c r="M32" s="40"/>
      <c r="N32" s="40"/>
      <c r="O32" s="40"/>
      <c r="P32" s="40"/>
      <c r="S32" s="75" t="s">
        <v>69</v>
      </c>
      <c r="T32" s="155" t="s">
        <v>6</v>
      </c>
      <c r="U32" s="158">
        <v>1</v>
      </c>
      <c r="V32" s="156">
        <v>4</v>
      </c>
      <c r="W32" s="157">
        <v>8</v>
      </c>
      <c r="X32" s="157">
        <v>16</v>
      </c>
      <c r="Y32" s="252">
        <f t="shared" si="1"/>
        <v>24</v>
      </c>
      <c r="Z32" s="77"/>
      <c r="AA32" s="77"/>
      <c r="AB32" s="77"/>
      <c r="AE32" s="763" t="s">
        <v>261</v>
      </c>
      <c r="AF32" s="2">
        <v>14</v>
      </c>
      <c r="AG32" s="2">
        <v>33</v>
      </c>
      <c r="AH32" s="2">
        <v>0</v>
      </c>
    </row>
    <row r="33" spans="5:61" ht="16" customHeight="1" thickBot="1" x14ac:dyDescent="0.25">
      <c r="F33" s="73"/>
      <c r="G33" s="73"/>
      <c r="H33" s="552" t="s">
        <v>15</v>
      </c>
      <c r="I33" s="148"/>
      <c r="J33" s="137"/>
      <c r="K33" s="567"/>
      <c r="L33" s="406"/>
      <c r="M33" s="422" t="s">
        <v>18</v>
      </c>
      <c r="N33" s="44" t="s">
        <v>31</v>
      </c>
      <c r="O33" s="44" t="s">
        <v>47</v>
      </c>
      <c r="P33" s="74" t="s">
        <v>42</v>
      </c>
      <c r="S33" s="580" t="s">
        <v>222</v>
      </c>
      <c r="T33" s="65" t="s">
        <v>6</v>
      </c>
      <c r="U33" s="66">
        <v>2</v>
      </c>
      <c r="V33" s="159">
        <v>3</v>
      </c>
      <c r="W33" s="66">
        <v>10</v>
      </c>
      <c r="X33" s="66">
        <v>30</v>
      </c>
      <c r="Y33" s="248">
        <f t="shared" si="1"/>
        <v>40</v>
      </c>
      <c r="Z33" s="77"/>
      <c r="AA33" s="77"/>
      <c r="AB33" s="77"/>
      <c r="AE33" s="763" t="s">
        <v>20</v>
      </c>
      <c r="AF33" s="2">
        <v>14</v>
      </c>
      <c r="AG33" s="2">
        <v>60</v>
      </c>
      <c r="AH33" s="2">
        <v>0</v>
      </c>
    </row>
    <row r="34" spans="5:61" ht="16" customHeight="1" thickBot="1" x14ac:dyDescent="0.25">
      <c r="F34" s="73"/>
      <c r="G34" s="73"/>
      <c r="H34" s="553"/>
      <c r="I34" s="619" t="str">
        <f>D21</f>
        <v>Manage</v>
      </c>
      <c r="J34" s="620"/>
      <c r="K34" s="242" t="str">
        <f>K21</f>
        <v>None</v>
      </c>
      <c r="L34" s="470"/>
      <c r="M34" s="467">
        <f>IF($E$21="Y",IF($K$21="Xsmall/Min",Z46,IF($K$21="Small",Z47,IF($K$21="Medium",Z48,IF($K$21="Large",Z49,Z50)))),0)</f>
        <v>0</v>
      </c>
      <c r="N34" s="466">
        <f>IF($E$21="Y",IF($K$21="Xsmall/Min",AA46,IF($K$21="Small",AA47,IF($K$21="Medium",AA48,IF($K$21="Large",AA49,AA50)))),0)</f>
        <v>0</v>
      </c>
      <c r="O34" s="466">
        <f>IF($E$21="Y",IF($K$21="Xsmall/Min",AB46,IF($K$21="Small",AB47,IF($K$21="Medium",AB48,IF($K$21="Large",AB49,AB50)))),0)</f>
        <v>0</v>
      </c>
      <c r="P34" s="50"/>
      <c r="S34" s="581"/>
      <c r="T34" s="67" t="s">
        <v>224</v>
      </c>
      <c r="U34" s="69">
        <v>50000</v>
      </c>
      <c r="V34" s="69">
        <v>100000</v>
      </c>
      <c r="W34" s="69">
        <v>600000</v>
      </c>
      <c r="X34" s="72">
        <v>1000000</v>
      </c>
      <c r="Y34" s="249">
        <f t="shared" si="1"/>
        <v>1600000</v>
      </c>
      <c r="Z34" s="77"/>
      <c r="AA34" s="77"/>
      <c r="AB34" s="77"/>
      <c r="AE34" s="763" t="s">
        <v>260</v>
      </c>
      <c r="AF34" s="2">
        <v>24</v>
      </c>
      <c r="AG34" s="2">
        <v>80</v>
      </c>
      <c r="AH34" s="2">
        <v>0</v>
      </c>
    </row>
    <row r="35" spans="5:61" ht="16" customHeight="1" x14ac:dyDescent="0.2">
      <c r="E35" s="73"/>
      <c r="F35" s="73"/>
      <c r="G35" s="73"/>
      <c r="H35" s="553"/>
      <c r="I35" s="568" t="str">
        <f>D22</f>
        <v>Monitor</v>
      </c>
      <c r="J35" s="569"/>
      <c r="K35" s="243" t="str">
        <f>K22</f>
        <v>None</v>
      </c>
      <c r="L35" s="470"/>
      <c r="M35" s="464">
        <f>IF($E$22="Y",IF($K$22="Xsmall/Min",Z52,IF($K$22="Small",Z53,IF($K$22="Medium",Z54,IF($K$22="Large",Z55,Z56)))),0)</f>
        <v>0</v>
      </c>
      <c r="N35" s="245">
        <f>IF($E$22="Y",IF($K$22="Xsmall/Min",AA52,IF($K$22="Small",AA53,IF($K$22="Medium",AA54,IF($K$22="Large",AA55,AA56)))),0)</f>
        <v>0</v>
      </c>
      <c r="O35" s="245">
        <f>IF($E$22="Y",IF($K$22="Xsmall/Min",AB52,IF($K$22="Small",AB53,IF($K$22="Medium",AB54,IF($K$22="Large",AB55,AB56)))),0)</f>
        <v>0</v>
      </c>
      <c r="P35" s="56"/>
      <c r="S35" s="580" t="s">
        <v>223</v>
      </c>
      <c r="T35" s="228" t="s">
        <v>232</v>
      </c>
      <c r="U35" s="66">
        <v>50</v>
      </c>
      <c r="V35" s="159">
        <v>250</v>
      </c>
      <c r="W35" s="66">
        <v>2500</v>
      </c>
      <c r="X35" s="66">
        <v>10000</v>
      </c>
      <c r="Y35" s="248">
        <f t="shared" si="1"/>
        <v>12500</v>
      </c>
      <c r="Z35" s="77"/>
      <c r="AA35" s="77"/>
      <c r="AB35" s="77"/>
      <c r="AE35" s="763" t="s">
        <v>2</v>
      </c>
      <c r="AF35" s="2">
        <v>100</v>
      </c>
      <c r="AG35" s="2">
        <v>1440</v>
      </c>
      <c r="AH35" s="2">
        <v>0</v>
      </c>
    </row>
    <row r="36" spans="5:61" ht="16" customHeight="1" thickBot="1" x14ac:dyDescent="0.25">
      <c r="E36" s="73"/>
      <c r="F36" s="73"/>
      <c r="G36" s="73"/>
      <c r="H36" s="553"/>
      <c r="I36" s="568" t="str">
        <f>D23</f>
        <v>Health</v>
      </c>
      <c r="J36" s="569"/>
      <c r="K36" s="243" t="str">
        <f>K23</f>
        <v>None</v>
      </c>
      <c r="L36" s="470"/>
      <c r="M36" s="445">
        <f>IF($E$23="Y",IF($K$23="Xsmall/Min",Z58,IF($K$23="Small",Z59,IF($K$23="Medium",Z60,IF($K$23="Large",Z61,Z62)))),0)</f>
        <v>0</v>
      </c>
      <c r="N36" s="237">
        <f>IF($E$23="Y",IF($K$23="Xsmall/Min",AA58,IF($K$23="Small",AA59,IF($K$23="Medium",AA60,IF($K$23="Large",AA61,AA62)))),0)</f>
        <v>0</v>
      </c>
      <c r="O36" s="237">
        <f>IF($E$23="Y",IF($K$23="Xsmall/Min",AB58,IF($K$23="Small",AB59,IF($K$23="Medium",AB60,IF($K$23="Large",AB61,AB62)))),0)</f>
        <v>0</v>
      </c>
      <c r="P36" s="56"/>
      <c r="S36" s="582"/>
      <c r="T36" s="230" t="s">
        <v>11</v>
      </c>
      <c r="U36" s="69">
        <v>1000</v>
      </c>
      <c r="V36" s="69">
        <v>5000</v>
      </c>
      <c r="W36" s="69">
        <v>50000</v>
      </c>
      <c r="X36" s="72">
        <v>200000</v>
      </c>
      <c r="Y36" s="452">
        <f t="shared" si="1"/>
        <v>250000</v>
      </c>
      <c r="Z36" s="77"/>
      <c r="AA36" s="77"/>
      <c r="AB36" s="77"/>
      <c r="AE36" s="763" t="s">
        <v>58</v>
      </c>
      <c r="AF36" s="2">
        <f>AF35+AF34</f>
        <v>124</v>
      </c>
      <c r="AG36" s="2">
        <f t="shared" ref="AG36:AH36" si="2">AG35+AG34</f>
        <v>1520</v>
      </c>
      <c r="AH36" s="2">
        <f t="shared" si="2"/>
        <v>0</v>
      </c>
    </row>
    <row r="37" spans="5:61" ht="16" customHeight="1" x14ac:dyDescent="0.2">
      <c r="E37" s="73"/>
      <c r="F37" s="73"/>
      <c r="G37" s="73"/>
      <c r="H37" s="553"/>
      <c r="I37" s="568" t="str">
        <f>D24</f>
        <v>Predict</v>
      </c>
      <c r="J37" s="569"/>
      <c r="K37" s="243" t="str">
        <f>K24</f>
        <v>None</v>
      </c>
      <c r="L37" s="470"/>
      <c r="M37" s="445">
        <f>IF($E$24="Y",IF(OR(E22="N",E23="N"),"Error",IF($K$24="Xsmall/Min",Z64,IF($K$24="Small",Z65,IF($K$24="Medium",Z66,IF($K$24="Large",Z67,Z68))))),0)</f>
        <v>0</v>
      </c>
      <c r="N37" s="237">
        <f>IF($E$24="Y",IF(OR(E22="N",E23="N"),"Error",IF($K$24="Xsmall/Min",AA64,IF($K$24="Small",AA65,IF($K$24="Medium",AA66,IF($K$24="Large",AA67,AA68))))),0)</f>
        <v>0</v>
      </c>
      <c r="O37" s="237">
        <f>IF($E$24="Y",IF(OR(E22="N",E23="N"),"Error",IF($K$24="Xsmall/Min",AB64,IF($K$24="Small",AB65,IF($K$24="Medium",AB66,IF($K$24="Large",AB67,AB68))))),0)</f>
        <v>0</v>
      </c>
      <c r="P37" s="56"/>
      <c r="S37" s="715" t="s">
        <v>245</v>
      </c>
      <c r="T37" s="228" t="s">
        <v>6</v>
      </c>
      <c r="U37" s="66" t="s">
        <v>246</v>
      </c>
      <c r="V37" s="159" t="s">
        <v>246</v>
      </c>
      <c r="W37" s="66" t="s">
        <v>246</v>
      </c>
      <c r="X37" s="66" t="s">
        <v>246</v>
      </c>
      <c r="Y37" s="248" t="s">
        <v>246</v>
      </c>
    </row>
    <row r="38" spans="5:61" ht="16" customHeight="1" x14ac:dyDescent="0.2">
      <c r="E38" s="73"/>
      <c r="F38" s="73"/>
      <c r="G38" s="73"/>
      <c r="H38" s="553"/>
      <c r="I38" s="568" t="s">
        <v>242</v>
      </c>
      <c r="J38" s="569"/>
      <c r="K38" s="243" t="str">
        <f>K25</f>
        <v>None</v>
      </c>
      <c r="L38" s="470"/>
      <c r="M38" s="718">
        <f>IF($E$25="Y",IF($E$23="N","Error",IF($K$25="Xsmall/Min",Z88,IF($K$25="Small",Z89,IF($K$25="Medium",Z90,IF($K$25="Large",Z91,Z92))))),0)</f>
        <v>0</v>
      </c>
      <c r="N38" s="237">
        <f>IF($E$25="Y",IF($E$23="N","Error",IF($K$25="Xsmall/Min",AA88,IF($K$25="Small",AA89,IF($K$25="Medium",AA90,IF($K$25="Large",AA91,AA92))))),0)</f>
        <v>0</v>
      </c>
      <c r="O38" s="237">
        <f>IF($E$25="Y",IF($E$23="N","Error",IF($K$25="Xsmall/Min",AB88,IF($K$25="Small",AB89,IF($K$25="Medium",AB90,IF($K$25="Large",AB91,AB92))))),0)</f>
        <v>0</v>
      </c>
      <c r="P38" s="56"/>
      <c r="S38" s="719"/>
      <c r="T38" s="720"/>
      <c r="U38" s="714"/>
      <c r="V38" s="713"/>
      <c r="W38" s="714"/>
      <c r="X38" s="713"/>
      <c r="Y38" s="721"/>
    </row>
    <row r="39" spans="5:61" ht="16" customHeight="1" thickBot="1" x14ac:dyDescent="0.25">
      <c r="E39" s="73"/>
      <c r="F39" s="73"/>
      <c r="G39" s="73"/>
      <c r="H39" s="553"/>
      <c r="I39" s="568" t="str">
        <f>D26</f>
        <v>Visual Inspection</v>
      </c>
      <c r="J39" s="569"/>
      <c r="K39" s="243" t="str">
        <f>K26</f>
        <v>None</v>
      </c>
      <c r="L39" s="470"/>
      <c r="M39" s="465">
        <f>IF($E$26="Y",IF($K$26="Xsmall/Min",Z70,IF($K$26="Small",Z71,IF($K$26="Medium",Z72,IF($K$26="Large",Z73,Z74)))),0)</f>
        <v>0</v>
      </c>
      <c r="N39" s="246">
        <f>IF($E$26="Y",IF($K$26="Xsmall/Min",AA70,IF($K$26="Small",AA71,IF($K$26="Medium",AA72,IF($K$26="Large",AA73,AA74)))),0)</f>
        <v>0</v>
      </c>
      <c r="O39" s="246">
        <f>IF($E$26="Y",IF($K$26="Xsmall/Min",AB70,IF($K$26="Small",AB71,IF($K$26="Medium",AB72,IF($K$26="Large",AB73,AB74)))),0)</f>
        <v>0</v>
      </c>
      <c r="P39" s="56"/>
      <c r="S39" s="716"/>
      <c r="T39" s="230" t="s">
        <v>243</v>
      </c>
      <c r="U39" s="69">
        <v>5</v>
      </c>
      <c r="V39" s="69">
        <v>10</v>
      </c>
      <c r="W39" s="69">
        <v>30</v>
      </c>
      <c r="X39" s="72">
        <v>50</v>
      </c>
      <c r="Y39" s="452">
        <v>80</v>
      </c>
    </row>
    <row r="40" spans="5:61" ht="17" customHeight="1" x14ac:dyDescent="0.2">
      <c r="E40" s="73"/>
      <c r="F40" s="73"/>
      <c r="G40" s="73"/>
      <c r="H40" s="553"/>
      <c r="I40" s="568" t="s">
        <v>222</v>
      </c>
      <c r="J40" s="569"/>
      <c r="K40" s="243" t="str">
        <f>K27</f>
        <v>None</v>
      </c>
      <c r="L40" s="26"/>
      <c r="M40" s="465">
        <f>IF($E$27="Y",IF($K$27="Xsmall/Min",Z76,IF($K$27="Small",Z77,IF($K$27="Medium",Z78,IF($K$27="Large",Z79,Z80)))),0)</f>
        <v>0</v>
      </c>
      <c r="N40" s="472">
        <f>IF($E$27="Y",IF($K$27="Xsmall/Min",AA76,IF($K$27="Small",AA77,IF($K$27="Medium",AA78,IF($K$27="Large",AA79,AA80)))),0)</f>
        <v>0</v>
      </c>
      <c r="O40" s="246">
        <f>IF($E$27="Y",IF($K$27="Xsmall/Min",AB76,IF($K$27="Small",AB77,IF($K$27="Medium",AB78,IF($K$27="Large",AB79,AB80)))),0)</f>
        <v>0</v>
      </c>
      <c r="P40" s="56"/>
      <c r="R40" s="88"/>
      <c r="S40" s="163"/>
      <c r="T40"/>
      <c r="U40"/>
      <c r="V40"/>
      <c r="W40"/>
      <c r="X40"/>
      <c r="Y40"/>
      <c r="Z40"/>
      <c r="AA40"/>
      <c r="AB40"/>
      <c r="AC40" s="89"/>
    </row>
    <row r="41" spans="5:61" ht="17" customHeight="1" thickBot="1" x14ac:dyDescent="0.25">
      <c r="H41" s="554"/>
      <c r="I41" s="570" t="s">
        <v>223</v>
      </c>
      <c r="J41" s="571"/>
      <c r="K41" s="244" t="str">
        <f>K28</f>
        <v>None</v>
      </c>
      <c r="L41" s="32"/>
      <c r="M41" s="465">
        <f>IF($E$28="Y",IF($K$28="Xsmall/Min",Z82,IF($K$28="Small",Z83,IF($K$28="Medium",Z84,IF($K$28="Large",Z85,Z86)))),0)</f>
        <v>0</v>
      </c>
      <c r="N41" s="472">
        <f>IF($E$28="Y",IF($K$28="Xsmall/Min",AA82,IF($K$28="Small",AA83,IF($K$28="Medium",AA84,IF($K$28="Large",AA85,AA86)))),0)</f>
        <v>0</v>
      </c>
      <c r="O41" s="246">
        <f>IF($E$28="Y",IF($K$28="Xsmall/Min",AB82,IF($K$28="Small",AB83,IF($K$28="Medium",AB84,IF($K$28="Large",AB85,AB86)))),0)</f>
        <v>0</v>
      </c>
      <c r="P41" s="56"/>
      <c r="R41" s="90"/>
      <c r="S41"/>
      <c r="T41"/>
      <c r="U41"/>
      <c r="V41"/>
      <c r="W41"/>
      <c r="X41"/>
      <c r="Y41"/>
      <c r="Z41"/>
      <c r="AA41"/>
      <c r="AB41"/>
      <c r="AC41" s="89"/>
    </row>
    <row r="42" spans="5:61" ht="17" customHeight="1" thickBot="1" x14ac:dyDescent="0.25">
      <c r="G42" s="82"/>
      <c r="H42" s="73"/>
      <c r="I42" s="73"/>
      <c r="J42" s="40"/>
      <c r="K42" s="427" t="s">
        <v>230</v>
      </c>
      <c r="L42" s="428"/>
      <c r="M42" s="238">
        <f>SUM(M34:M41)</f>
        <v>0</v>
      </c>
      <c r="N42" s="238">
        <f>SUM(N34:N41)</f>
        <v>0</v>
      </c>
      <c r="O42" s="238">
        <f>SUM(O34:O41)</f>
        <v>0</v>
      </c>
      <c r="P42" s="78"/>
      <c r="R42" s="90"/>
      <c r="S42"/>
      <c r="T42"/>
      <c r="U42" s="670" t="s">
        <v>211</v>
      </c>
      <c r="V42" s="671"/>
      <c r="W42" s="671"/>
      <c r="X42" s="672"/>
      <c r="Y42"/>
      <c r="Z42" s="673" t="s">
        <v>212</v>
      </c>
      <c r="AA42" s="674"/>
      <c r="AB42" s="675"/>
      <c r="AC42" s="653" t="s">
        <v>106</v>
      </c>
      <c r="AD42" s="654"/>
      <c r="AE42" s="654"/>
      <c r="AF42" s="654"/>
      <c r="AG42" s="561" t="s">
        <v>107</v>
      </c>
      <c r="AH42" s="562"/>
      <c r="AI42" s="562"/>
      <c r="AJ42" s="562"/>
      <c r="AK42" s="562"/>
      <c r="AL42" s="563"/>
      <c r="AM42" s="426" t="s">
        <v>228</v>
      </c>
      <c r="AN42" s="561" t="s">
        <v>40</v>
      </c>
      <c r="AO42" s="562"/>
      <c r="AP42" s="562"/>
      <c r="AQ42" s="664"/>
      <c r="AR42" s="664"/>
      <c r="AS42" s="664"/>
      <c r="AT42" s="664"/>
      <c r="AU42" s="664"/>
      <c r="AV42" s="664"/>
      <c r="AW42" s="664"/>
      <c r="AX42" s="664"/>
      <c r="AY42" s="665"/>
      <c r="AZ42" s="561" t="s">
        <v>67</v>
      </c>
      <c r="BA42" s="562"/>
      <c r="BB42" s="562"/>
      <c r="BC42" s="562"/>
      <c r="BD42" s="562"/>
      <c r="BE42" s="562"/>
      <c r="BF42" s="562"/>
      <c r="BG42" s="563"/>
      <c r="BH42" s="377" t="s">
        <v>67</v>
      </c>
      <c r="BI42" s="377" t="s">
        <v>67</v>
      </c>
    </row>
    <row r="43" spans="5:61" ht="17" customHeight="1" thickBot="1" x14ac:dyDescent="0.25">
      <c r="G43" s="82"/>
      <c r="J43" s="40"/>
      <c r="K43" s="40"/>
      <c r="L43" s="40"/>
      <c r="M43" s="40"/>
      <c r="N43" s="40"/>
      <c r="O43" s="40"/>
      <c r="P43" s="79"/>
      <c r="S43" s="163"/>
      <c r="T43"/>
      <c r="U43" s="408"/>
      <c r="V43" s="409"/>
      <c r="W43" s="468" t="s">
        <v>208</v>
      </c>
      <c r="X43" s="410"/>
      <c r="Y43"/>
      <c r="Z43" s="561" t="s">
        <v>82</v>
      </c>
      <c r="AA43" s="562"/>
      <c r="AB43" s="563"/>
      <c r="AC43" s="93" t="s">
        <v>84</v>
      </c>
      <c r="AD43" s="94" t="s">
        <v>86</v>
      </c>
      <c r="AE43" s="94" t="s">
        <v>87</v>
      </c>
      <c r="AF43" s="95" t="s">
        <v>89</v>
      </c>
      <c r="AG43" s="424"/>
      <c r="AH43" s="370" t="s">
        <v>91</v>
      </c>
      <c r="AI43" s="370" t="s">
        <v>91</v>
      </c>
      <c r="AJ43" s="453" t="s">
        <v>94</v>
      </c>
      <c r="AK43" s="370"/>
      <c r="AL43" s="425" t="s">
        <v>91</v>
      </c>
      <c r="AM43" s="526" t="s">
        <v>124</v>
      </c>
      <c r="AN43" s="668" t="s">
        <v>110</v>
      </c>
      <c r="AO43" s="669"/>
      <c r="AP43" s="531" t="s">
        <v>124</v>
      </c>
      <c r="AQ43" s="379" t="s">
        <v>87</v>
      </c>
      <c r="AR43" s="370" t="s">
        <v>94</v>
      </c>
      <c r="AS43" s="370" t="s">
        <v>123</v>
      </c>
      <c r="AT43" s="370" t="s">
        <v>182</v>
      </c>
      <c r="AU43" s="370" t="s">
        <v>164</v>
      </c>
      <c r="AV43" s="370" t="s">
        <v>227</v>
      </c>
      <c r="AW43" s="370" t="s">
        <v>226</v>
      </c>
      <c r="AX43" s="370" t="s">
        <v>183</v>
      </c>
      <c r="AY43" s="380" t="s">
        <v>86</v>
      </c>
      <c r="AZ43" s="388" t="s">
        <v>186</v>
      </c>
      <c r="BA43" s="373" t="s">
        <v>182</v>
      </c>
      <c r="BB43" s="373" t="s">
        <v>185</v>
      </c>
      <c r="BC43" s="373" t="s">
        <v>87</v>
      </c>
      <c r="BD43" s="140" t="s">
        <v>164</v>
      </c>
      <c r="BE43" s="140" t="s">
        <v>227</v>
      </c>
      <c r="BF43" s="140" t="s">
        <v>226</v>
      </c>
      <c r="BG43" s="543" t="s">
        <v>67</v>
      </c>
      <c r="BH43" s="141" t="s">
        <v>172</v>
      </c>
      <c r="BI43" s="543" t="s">
        <v>187</v>
      </c>
    </row>
    <row r="44" spans="5:61" ht="21" customHeight="1" thickBot="1" x14ac:dyDescent="0.25">
      <c r="G44" s="82"/>
      <c r="H44" s="82"/>
      <c r="I44" s="583" t="s">
        <v>100</v>
      </c>
      <c r="J44" s="584"/>
      <c r="K44" s="83"/>
      <c r="L44" s="84"/>
      <c r="M44" s="85" t="s">
        <v>19</v>
      </c>
      <c r="N44" s="86" t="s">
        <v>31</v>
      </c>
      <c r="O44" s="87" t="s">
        <v>47</v>
      </c>
      <c r="P44" s="87" t="s">
        <v>42</v>
      </c>
      <c r="Q44" s="88"/>
      <c r="S44" s="621" t="s">
        <v>12</v>
      </c>
      <c r="T44" s="162" t="s">
        <v>16</v>
      </c>
      <c r="U44" s="80" t="s">
        <v>17</v>
      </c>
      <c r="V44" s="205" t="s">
        <v>18</v>
      </c>
      <c r="W44" s="510" t="s">
        <v>48</v>
      </c>
      <c r="X44" s="81" t="s">
        <v>47</v>
      </c>
      <c r="Y44" s="161" t="s">
        <v>42</v>
      </c>
      <c r="Z44" s="516" t="s">
        <v>83</v>
      </c>
      <c r="AA44" s="506" t="s">
        <v>67</v>
      </c>
      <c r="AB44" s="517" t="s">
        <v>40</v>
      </c>
      <c r="AC44" s="138" t="s">
        <v>85</v>
      </c>
      <c r="AD44" s="22" t="s">
        <v>81</v>
      </c>
      <c r="AE44" s="22" t="s">
        <v>88</v>
      </c>
      <c r="AF44" s="139" t="s">
        <v>90</v>
      </c>
      <c r="AG44" s="138" t="s">
        <v>164</v>
      </c>
      <c r="AH44" s="22" t="s">
        <v>92</v>
      </c>
      <c r="AI44" s="22" t="s">
        <v>93</v>
      </c>
      <c r="AJ44" s="389" t="s">
        <v>95</v>
      </c>
      <c r="AK44" s="22" t="s">
        <v>227</v>
      </c>
      <c r="AL44" s="139" t="s">
        <v>226</v>
      </c>
      <c r="AM44" s="506" t="s">
        <v>96</v>
      </c>
      <c r="AN44" s="532" t="s">
        <v>18</v>
      </c>
      <c r="AO44" s="533" t="s">
        <v>40</v>
      </c>
      <c r="AP44" s="516" t="s">
        <v>40</v>
      </c>
      <c r="AQ44" s="138" t="s">
        <v>40</v>
      </c>
      <c r="AR44" s="22" t="s">
        <v>40</v>
      </c>
      <c r="AS44" s="22" t="s">
        <v>40</v>
      </c>
      <c r="AT44" s="22" t="s">
        <v>40</v>
      </c>
      <c r="AU44" s="22" t="s">
        <v>40</v>
      </c>
      <c r="AV44" s="22" t="s">
        <v>40</v>
      </c>
      <c r="AW44" s="22" t="s">
        <v>40</v>
      </c>
      <c r="AX44" s="22" t="s">
        <v>40</v>
      </c>
      <c r="AY44" s="139" t="s">
        <v>40</v>
      </c>
      <c r="AZ44" s="389" t="s">
        <v>67</v>
      </c>
      <c r="BA44" s="372" t="s">
        <v>67</v>
      </c>
      <c r="BB44" s="372" t="s">
        <v>67</v>
      </c>
      <c r="BC44" s="372" t="s">
        <v>67</v>
      </c>
      <c r="BD44" s="139" t="s">
        <v>67</v>
      </c>
      <c r="BE44" s="139" t="s">
        <v>67</v>
      </c>
      <c r="BF44" s="139" t="s">
        <v>67</v>
      </c>
      <c r="BG44" s="544" t="s">
        <v>41</v>
      </c>
      <c r="BH44" s="59" t="s">
        <v>124</v>
      </c>
      <c r="BI44" s="544" t="s">
        <v>67</v>
      </c>
    </row>
    <row r="45" spans="5:61" ht="16" customHeight="1" thickBot="1" x14ac:dyDescent="0.25">
      <c r="G45" s="82"/>
      <c r="H45" s="82"/>
      <c r="I45" s="585"/>
      <c r="J45" s="586"/>
      <c r="K45" s="604" t="s">
        <v>68</v>
      </c>
      <c r="L45" s="605"/>
      <c r="M45" s="238">
        <f>M42+M29</f>
        <v>0</v>
      </c>
      <c r="N45" s="238">
        <f>N42+N29</f>
        <v>0</v>
      </c>
      <c r="O45" s="238">
        <f>O42+O29</f>
        <v>0</v>
      </c>
      <c r="P45" s="238">
        <f>P29+P42</f>
        <v>0</v>
      </c>
      <c r="Q45" s="90"/>
      <c r="S45" s="622"/>
      <c r="T45" s="609" t="s">
        <v>5</v>
      </c>
      <c r="U45" s="169" t="s">
        <v>120</v>
      </c>
      <c r="V45" s="179">
        <v>2</v>
      </c>
      <c r="W45" s="509">
        <f>IF($E$15="N",BC45+BH45,BH45)</f>
        <v>256</v>
      </c>
      <c r="X45" s="154">
        <v>18</v>
      </c>
      <c r="Y45" s="14"/>
      <c r="Z45" s="518">
        <f t="shared" ref="Z45:Z50" si="3">IF($E$15="N",AM45,AM45-AE45-AD45)</f>
        <v>28</v>
      </c>
      <c r="AA45" s="509">
        <f t="shared" ref="AA45:AA50" si="4">IF($E$15="N",BI45,AZ45+BA45+BD45)</f>
        <v>815</v>
      </c>
      <c r="AB45" s="519">
        <f t="shared" ref="AB45:AB50" si="5">IF($E$15="N",AP45,AP45-AQ45-AY45)</f>
        <v>106</v>
      </c>
      <c r="AC45" s="172">
        <v>5</v>
      </c>
      <c r="AD45" s="170">
        <v>14</v>
      </c>
      <c r="AE45" s="170">
        <v>6</v>
      </c>
      <c r="AF45" s="175">
        <v>2</v>
      </c>
      <c r="AG45" s="172">
        <v>1</v>
      </c>
      <c r="AH45" s="170"/>
      <c r="AI45" s="170"/>
      <c r="AJ45" s="170"/>
      <c r="AK45" s="170"/>
      <c r="AL45" s="384"/>
      <c r="AM45" s="527">
        <f t="shared" ref="AM45:AM74" si="6">SUM(AC45:AL45)</f>
        <v>28</v>
      </c>
      <c r="AN45" s="534">
        <f>IF($B$119="S",IF($E$21="Y",AC45+AD45+AF45+AG45,0),0)</f>
        <v>0</v>
      </c>
      <c r="AO45" s="535">
        <f>IF($B$119="S",IF($E$21="Y",AP45-AQ45-AR45-AS45,0),0)</f>
        <v>0</v>
      </c>
      <c r="AP45" s="536">
        <f>SUM(AQ45:AY45)</f>
        <v>106</v>
      </c>
      <c r="AQ45" s="172">
        <v>100</v>
      </c>
      <c r="AR45" s="170">
        <v>0</v>
      </c>
      <c r="AS45" s="170">
        <v>0</v>
      </c>
      <c r="AT45" s="170">
        <v>2</v>
      </c>
      <c r="AU45" s="170"/>
      <c r="AV45" s="170"/>
      <c r="AW45" s="170"/>
      <c r="AX45" s="170">
        <v>4</v>
      </c>
      <c r="AY45" s="384"/>
      <c r="AZ45" s="390">
        <v>120</v>
      </c>
      <c r="BA45" s="170">
        <v>20</v>
      </c>
      <c r="BB45" s="170">
        <v>655</v>
      </c>
      <c r="BC45" s="170">
        <v>256</v>
      </c>
      <c r="BD45" s="170">
        <v>20</v>
      </c>
      <c r="BE45" s="170"/>
      <c r="BF45" s="381"/>
      <c r="BG45" s="536">
        <f>SUM(AZ45:BF45)+BH45</f>
        <v>1071</v>
      </c>
      <c r="BH45" s="374">
        <v>0</v>
      </c>
      <c r="BI45" s="547">
        <f>AZ45+BA45+BB45+BD45</f>
        <v>815</v>
      </c>
    </row>
    <row r="46" spans="5:61" ht="19" customHeight="1" x14ac:dyDescent="0.2">
      <c r="G46" s="82"/>
      <c r="H46" s="82"/>
      <c r="I46" s="585"/>
      <c r="J46" s="586"/>
      <c r="K46" s="598" t="s">
        <v>21</v>
      </c>
      <c r="L46" s="599"/>
      <c r="M46" s="589" t="str">
        <f>IF(E21="y",K21&amp;" "&amp;D21,"")&amp;" * "&amp;IF(E22="y",K22&amp;" "&amp;D22,"")&amp;" * "&amp;IF(E23="y",K23&amp;" "&amp;D23,"")&amp;" * "&amp;IF(E24="y",K24&amp;" "&amp;D24,"")&amp;" * "&amp;IF(E25="y",K25&amp;" "&amp;D25,"")&amp;" * "&amp;IF(E26="y",K26&amp;" "&amp;D26,"")&amp;" * "&amp;IF(E27="y",K27&amp;" "&amp;D27,"")&amp;" * "&amp;IF(E28="y",K28&amp;" "&amp;D28,"")</f>
        <v xml:space="preserve"> *  *  *  *  *  *  * </v>
      </c>
      <c r="N46" s="590"/>
      <c r="O46" s="590"/>
      <c r="P46" s="591"/>
      <c r="Q46" s="90"/>
      <c r="S46" s="622"/>
      <c r="T46" s="610"/>
      <c r="U46" s="180" t="s">
        <v>119</v>
      </c>
      <c r="V46" s="92">
        <v>2</v>
      </c>
      <c r="W46" s="507">
        <f t="shared" ref="W46:W74" si="7">IF($E$15="N",BC46+BH46,BH46)</f>
        <v>256</v>
      </c>
      <c r="X46" s="254">
        <v>18</v>
      </c>
      <c r="Y46" s="165"/>
      <c r="Z46" s="520">
        <f t="shared" si="3"/>
        <v>35</v>
      </c>
      <c r="AA46" s="507">
        <f t="shared" si="4"/>
        <v>815</v>
      </c>
      <c r="AB46" s="521">
        <f t="shared" si="5"/>
        <v>106</v>
      </c>
      <c r="AC46" s="119">
        <v>5</v>
      </c>
      <c r="AD46" s="91">
        <v>14</v>
      </c>
      <c r="AE46" s="91">
        <v>12</v>
      </c>
      <c r="AF46" s="176">
        <v>2</v>
      </c>
      <c r="AG46" s="119">
        <v>2</v>
      </c>
      <c r="AH46" s="91"/>
      <c r="AI46" s="91"/>
      <c r="AJ46" s="91"/>
      <c r="AK46" s="91"/>
      <c r="AL46" s="385"/>
      <c r="AM46" s="528">
        <f t="shared" si="6"/>
        <v>35</v>
      </c>
      <c r="AN46" s="537">
        <f>IF($B$119="S",IF($E$21="Y",AC46+AD46+AF46+AG46,0),0)</f>
        <v>0</v>
      </c>
      <c r="AO46" s="538">
        <f>IF($B$119="S",IF($E$21="Y",AP46-AQ46-AR46-AS46,0),0)</f>
        <v>0</v>
      </c>
      <c r="AP46" s="539">
        <f>SUM(AQ46:AY46)</f>
        <v>106</v>
      </c>
      <c r="AQ46" s="119">
        <v>100</v>
      </c>
      <c r="AR46" s="91">
        <v>0</v>
      </c>
      <c r="AS46" s="369">
        <v>0</v>
      </c>
      <c r="AT46" s="369">
        <v>2</v>
      </c>
      <c r="AU46" s="369"/>
      <c r="AV46" s="369"/>
      <c r="AW46" s="369"/>
      <c r="AX46" s="369">
        <v>4</v>
      </c>
      <c r="AY46" s="395"/>
      <c r="AZ46" s="391">
        <v>120</v>
      </c>
      <c r="BA46" s="91">
        <v>20</v>
      </c>
      <c r="BB46" s="91">
        <v>655</v>
      </c>
      <c r="BC46" s="91">
        <v>256</v>
      </c>
      <c r="BD46" s="91">
        <v>20</v>
      </c>
      <c r="BE46" s="91"/>
      <c r="BF46" s="382"/>
      <c r="BG46" s="539">
        <f t="shared" ref="BG46:BG86" si="8">SUM(AZ46:BF46)+BH46</f>
        <v>1071</v>
      </c>
      <c r="BH46" s="375">
        <v>0</v>
      </c>
      <c r="BI46" s="548">
        <f t="shared" ref="BI46:BI86" si="9">AZ46+BA46+BB46+BD46</f>
        <v>815</v>
      </c>
    </row>
    <row r="47" spans="5:61" ht="17" customHeight="1" thickBot="1" x14ac:dyDescent="0.25">
      <c r="F47" s="96"/>
      <c r="G47" s="96"/>
      <c r="H47" s="82"/>
      <c r="I47" s="585"/>
      <c r="J47" s="586"/>
      <c r="K47" s="600"/>
      <c r="L47" s="601"/>
      <c r="M47" s="592"/>
      <c r="N47" s="593"/>
      <c r="O47" s="593"/>
      <c r="P47" s="594"/>
      <c r="S47" s="622"/>
      <c r="T47" s="611"/>
      <c r="U47" s="119" t="s">
        <v>20</v>
      </c>
      <c r="V47" s="97">
        <v>5</v>
      </c>
      <c r="W47" s="511">
        <f t="shared" si="7"/>
        <v>512</v>
      </c>
      <c r="X47" s="99">
        <v>45</v>
      </c>
      <c r="Y47" s="165"/>
      <c r="Z47" s="520">
        <f t="shared" si="3"/>
        <v>35</v>
      </c>
      <c r="AA47" s="507">
        <f t="shared" si="4"/>
        <v>815</v>
      </c>
      <c r="AB47" s="521">
        <f t="shared" si="5"/>
        <v>106</v>
      </c>
      <c r="AC47" s="119">
        <v>5</v>
      </c>
      <c r="AD47" s="91">
        <v>14</v>
      </c>
      <c r="AE47" s="91">
        <v>12</v>
      </c>
      <c r="AF47" s="176">
        <v>2</v>
      </c>
      <c r="AG47" s="119">
        <v>2</v>
      </c>
      <c r="AH47" s="91"/>
      <c r="AI47" s="91"/>
      <c r="AJ47" s="91"/>
      <c r="AK47" s="91"/>
      <c r="AL47" s="385"/>
      <c r="AM47" s="528">
        <f t="shared" si="6"/>
        <v>35</v>
      </c>
      <c r="AN47" s="537">
        <f>IF($B$119="S",IF($E$21="Y",AC47+AD47+AF47+AG47,0),0)</f>
        <v>0</v>
      </c>
      <c r="AO47" s="538">
        <f>IF($B$119="S",IF($E$21="Y",AP47-AQ47-AR47-AS47,0),0)</f>
        <v>0</v>
      </c>
      <c r="AP47" s="539">
        <f>SUM(AQ47:AY47)</f>
        <v>106</v>
      </c>
      <c r="AQ47" s="119">
        <v>100</v>
      </c>
      <c r="AR47" s="91">
        <v>0</v>
      </c>
      <c r="AS47" s="369">
        <v>0</v>
      </c>
      <c r="AT47" s="369">
        <v>2</v>
      </c>
      <c r="AU47" s="369"/>
      <c r="AV47" s="369"/>
      <c r="AW47" s="369"/>
      <c r="AX47" s="369">
        <v>4</v>
      </c>
      <c r="AY47" s="395"/>
      <c r="AZ47" s="391">
        <v>120</v>
      </c>
      <c r="BA47" s="91">
        <v>20</v>
      </c>
      <c r="BB47" s="91">
        <v>655</v>
      </c>
      <c r="BC47" s="91">
        <v>512</v>
      </c>
      <c r="BD47" s="91">
        <v>20</v>
      </c>
      <c r="BE47" s="91"/>
      <c r="BF47" s="382"/>
      <c r="BG47" s="539">
        <f t="shared" si="8"/>
        <v>1327</v>
      </c>
      <c r="BH47" s="375">
        <v>0</v>
      </c>
      <c r="BI47" s="548">
        <f t="shared" si="9"/>
        <v>815</v>
      </c>
    </row>
    <row r="48" spans="5:61" ht="17" customHeight="1" thickBot="1" x14ac:dyDescent="0.25">
      <c r="H48" s="82"/>
      <c r="I48" s="587"/>
      <c r="J48" s="588"/>
      <c r="K48" s="602"/>
      <c r="L48" s="603"/>
      <c r="M48" s="595"/>
      <c r="N48" s="596"/>
      <c r="O48" s="596"/>
      <c r="P48" s="597"/>
      <c r="S48" s="622"/>
      <c r="T48" s="178" t="s">
        <v>80</v>
      </c>
      <c r="U48" s="119" t="s">
        <v>22</v>
      </c>
      <c r="V48" s="102">
        <v>7</v>
      </c>
      <c r="W48" s="512">
        <f t="shared" si="7"/>
        <v>1200</v>
      </c>
      <c r="X48" s="99">
        <v>63</v>
      </c>
      <c r="Y48" s="165"/>
      <c r="Z48" s="520">
        <f t="shared" si="3"/>
        <v>57</v>
      </c>
      <c r="AA48" s="507">
        <f t="shared" si="4"/>
        <v>825</v>
      </c>
      <c r="AB48" s="521">
        <f t="shared" si="5"/>
        <v>235</v>
      </c>
      <c r="AC48" s="119">
        <v>8</v>
      </c>
      <c r="AD48" s="91">
        <v>28</v>
      </c>
      <c r="AE48" s="91">
        <v>17</v>
      </c>
      <c r="AF48" s="176">
        <v>2</v>
      </c>
      <c r="AG48" s="119">
        <v>2</v>
      </c>
      <c r="AH48" s="91"/>
      <c r="AI48" s="91"/>
      <c r="AJ48" s="91"/>
      <c r="AK48" s="91"/>
      <c r="AL48" s="385"/>
      <c r="AM48" s="528">
        <f t="shared" si="6"/>
        <v>57</v>
      </c>
      <c r="AN48" s="537">
        <f>IF($B$119="S",IF($E$21="Y",AC48+AD48+AF48+AG48,0),0)</f>
        <v>0</v>
      </c>
      <c r="AO48" s="538">
        <f>IF($B$119="S",IF($E$21="Y",AP48-AQ48-AR48-AS48,0),0)</f>
        <v>0</v>
      </c>
      <c r="AP48" s="539">
        <f>SUM(AQ48:AY48)</f>
        <v>235</v>
      </c>
      <c r="AQ48" s="119">
        <v>228</v>
      </c>
      <c r="AR48" s="91">
        <v>0</v>
      </c>
      <c r="AS48" s="369">
        <v>0</v>
      </c>
      <c r="AT48" s="369">
        <v>3</v>
      </c>
      <c r="AU48" s="369"/>
      <c r="AV48" s="369"/>
      <c r="AW48" s="369"/>
      <c r="AX48" s="369">
        <v>4</v>
      </c>
      <c r="AY48" s="395"/>
      <c r="AZ48" s="391">
        <v>120</v>
      </c>
      <c r="BA48" s="91">
        <v>20</v>
      </c>
      <c r="BB48" s="91">
        <v>655</v>
      </c>
      <c r="BC48" s="91">
        <v>1200</v>
      </c>
      <c r="BD48" s="91">
        <v>30</v>
      </c>
      <c r="BE48" s="91"/>
      <c r="BF48" s="382"/>
      <c r="BG48" s="539">
        <f t="shared" si="8"/>
        <v>2025</v>
      </c>
      <c r="BH48" s="375">
        <v>0</v>
      </c>
      <c r="BI48" s="548">
        <f t="shared" si="9"/>
        <v>825</v>
      </c>
    </row>
    <row r="49" spans="8:61" ht="16" customHeight="1" x14ac:dyDescent="0.2">
      <c r="H49" s="96"/>
      <c r="I49" s="2"/>
      <c r="J49" s="2"/>
      <c r="K49" s="3"/>
      <c r="S49" s="622"/>
      <c r="T49" s="676" t="s">
        <v>121</v>
      </c>
      <c r="U49" s="119" t="s">
        <v>2</v>
      </c>
      <c r="V49" s="98">
        <v>16</v>
      </c>
      <c r="W49" s="511">
        <f t="shared" si="7"/>
        <v>2800</v>
      </c>
      <c r="X49" s="99">
        <v>144</v>
      </c>
      <c r="Y49" s="165"/>
      <c r="Z49" s="520">
        <f t="shared" si="3"/>
        <v>84</v>
      </c>
      <c r="AA49" s="507">
        <f t="shared" si="4"/>
        <v>835</v>
      </c>
      <c r="AB49" s="521">
        <f t="shared" si="5"/>
        <v>587</v>
      </c>
      <c r="AC49" s="119">
        <v>8</v>
      </c>
      <c r="AD49" s="91">
        <v>37</v>
      </c>
      <c r="AE49" s="91">
        <v>33</v>
      </c>
      <c r="AF49" s="176">
        <v>2</v>
      </c>
      <c r="AG49" s="119">
        <v>4</v>
      </c>
      <c r="AH49" s="91"/>
      <c r="AI49" s="91"/>
      <c r="AJ49" s="91"/>
      <c r="AK49" s="91"/>
      <c r="AL49" s="385"/>
      <c r="AM49" s="528">
        <f t="shared" si="6"/>
        <v>84</v>
      </c>
      <c r="AN49" s="537">
        <f>IF($B$119="S",IF($E$21="Y",AC49+AD49+AF49+AG49,0),0)</f>
        <v>0</v>
      </c>
      <c r="AO49" s="538">
        <f>IF($B$119="S",IF($E$21="Y",AP49-AQ49-AR49-AS49,0),0)</f>
        <v>0</v>
      </c>
      <c r="AP49" s="539">
        <f>SUM(AQ49:AY49)</f>
        <v>587</v>
      </c>
      <c r="AQ49" s="119">
        <v>484</v>
      </c>
      <c r="AR49" s="91">
        <v>0</v>
      </c>
      <c r="AS49" s="369">
        <v>0</v>
      </c>
      <c r="AT49" s="369">
        <v>3</v>
      </c>
      <c r="AU49" s="369">
        <v>96</v>
      </c>
      <c r="AV49" s="369"/>
      <c r="AW49" s="369"/>
      <c r="AX49" s="369">
        <v>4</v>
      </c>
      <c r="AY49" s="395"/>
      <c r="AZ49" s="391">
        <v>120</v>
      </c>
      <c r="BA49" s="91">
        <v>20</v>
      </c>
      <c r="BB49" s="91">
        <v>655</v>
      </c>
      <c r="BC49" s="91">
        <v>2800</v>
      </c>
      <c r="BD49" s="91">
        <v>40</v>
      </c>
      <c r="BE49" s="91"/>
      <c r="BF49" s="382"/>
      <c r="BG49" s="539">
        <f t="shared" si="8"/>
        <v>3635</v>
      </c>
      <c r="BH49" s="375">
        <v>0</v>
      </c>
      <c r="BI49" s="548">
        <f t="shared" si="9"/>
        <v>835</v>
      </c>
    </row>
    <row r="50" spans="8:61" ht="17" customHeight="1" thickBot="1" x14ac:dyDescent="0.25">
      <c r="S50" s="622"/>
      <c r="T50" s="667"/>
      <c r="U50" s="125" t="s">
        <v>58</v>
      </c>
      <c r="V50" s="255">
        <f>V49+V48</f>
        <v>23</v>
      </c>
      <c r="W50" s="513">
        <f t="shared" si="7"/>
        <v>4000</v>
      </c>
      <c r="X50" s="256">
        <f>X49+X48</f>
        <v>207</v>
      </c>
      <c r="Y50" s="165"/>
      <c r="Z50" s="522">
        <f t="shared" si="3"/>
        <v>131</v>
      </c>
      <c r="AA50" s="508">
        <f t="shared" si="4"/>
        <v>865</v>
      </c>
      <c r="AB50" s="523">
        <f t="shared" si="5"/>
        <v>822</v>
      </c>
      <c r="AC50" s="173">
        <v>8</v>
      </c>
      <c r="AD50" s="174">
        <f>AD49+AD48</f>
        <v>65</v>
      </c>
      <c r="AE50" s="257">
        <f>AE49+AE48</f>
        <v>50</v>
      </c>
      <c r="AF50" s="177">
        <v>2</v>
      </c>
      <c r="AG50" s="258">
        <f>AG48+AG49</f>
        <v>6</v>
      </c>
      <c r="AH50" s="174"/>
      <c r="AI50" s="174"/>
      <c r="AJ50" s="174"/>
      <c r="AK50" s="174"/>
      <c r="AL50" s="386"/>
      <c r="AM50" s="529">
        <f t="shared" si="6"/>
        <v>131</v>
      </c>
      <c r="AN50" s="540">
        <f>IF($B$119="S",IF($E$21="Y",AC50+AD50+AF50+AG50,0),0)</f>
        <v>0</v>
      </c>
      <c r="AO50" s="541">
        <f>IF($B$119="S",IF($E$21="Y",AP50-AQ50-AR50-AS50,0),0)</f>
        <v>0</v>
      </c>
      <c r="AP50" s="542">
        <f>AP48+AP49</f>
        <v>822</v>
      </c>
      <c r="AQ50" s="258">
        <f>AQ48+AQ49</f>
        <v>712</v>
      </c>
      <c r="AR50" s="174">
        <v>0</v>
      </c>
      <c r="AS50" s="397">
        <v>0</v>
      </c>
      <c r="AT50" s="371" t="s">
        <v>184</v>
      </c>
      <c r="AU50" s="371"/>
      <c r="AV50" s="371"/>
      <c r="AW50" s="371"/>
      <c r="AX50" s="371"/>
      <c r="AY50" s="398"/>
      <c r="AZ50" s="392">
        <f>AZ49</f>
        <v>120</v>
      </c>
      <c r="BA50" s="174">
        <f>BA49</f>
        <v>20</v>
      </c>
      <c r="BB50" s="174">
        <f>BB49</f>
        <v>655</v>
      </c>
      <c r="BC50" s="174">
        <f>BC49+BC48</f>
        <v>4000</v>
      </c>
      <c r="BD50" s="174">
        <f>BD49+BD48</f>
        <v>70</v>
      </c>
      <c r="BE50" s="469"/>
      <c r="BF50" s="456"/>
      <c r="BG50" s="545">
        <f t="shared" si="8"/>
        <v>4865</v>
      </c>
      <c r="BH50" s="376">
        <v>0</v>
      </c>
      <c r="BI50" s="549">
        <f t="shared" si="9"/>
        <v>865</v>
      </c>
    </row>
    <row r="51" spans="8:61" ht="16" customHeight="1" x14ac:dyDescent="0.2">
      <c r="I51" s="612" t="s">
        <v>23</v>
      </c>
      <c r="J51" s="606" t="s">
        <v>24</v>
      </c>
      <c r="K51" s="146" t="s">
        <v>25</v>
      </c>
      <c r="L51" s="726" t="str">
        <f>IF(COUNTIF(EnvironmentSizes,"Beyond Large"),"Beyond Large",IF(COUNTIF(EnvironmentSizes,"Large"),"Large",IF(COUNTIF(EnvironmentSizes,"Medium"),"Medium",IF(COUNTIF(EnvironmentSizes,"Small"),"Small",IF(COUNTIF(EnvironmentSizes,"Xsmall/Min"),"Xsmall/Min","None")))))</f>
        <v>None</v>
      </c>
      <c r="M51" s="100"/>
      <c r="N51" s="100"/>
      <c r="O51" s="100"/>
      <c r="P51" s="101"/>
      <c r="S51" s="622"/>
      <c r="T51" s="572" t="s">
        <v>10</v>
      </c>
      <c r="U51" s="169" t="s">
        <v>120</v>
      </c>
      <c r="V51" s="179">
        <v>10</v>
      </c>
      <c r="W51" s="509">
        <f t="shared" si="7"/>
        <v>512</v>
      </c>
      <c r="X51" s="154">
        <v>33</v>
      </c>
      <c r="Y51" s="14"/>
      <c r="Z51" s="518">
        <f t="shared" ref="Z51:Z56" si="10">IF(AN45=0,SUM(AC51:AJ51),IF($E$15="N",SUM(AC51:AJ51)-AN51,AM51-SUM(AC51:AG51)))</f>
        <v>32</v>
      </c>
      <c r="AA51" s="509">
        <f>IF($B$119="S",0,IF($E$15="N",BI51,AZ51+BA51+BD51))</f>
        <v>815</v>
      </c>
      <c r="AB51" s="519">
        <f t="shared" ref="AB51:AB56" si="11">IF($E$15="N",IF(AO45=0,AP51,AP51-AO51),IF(AO45=0,AP51-AQ51-AY51,AP51-AO51-AQ51-AY51))</f>
        <v>138</v>
      </c>
      <c r="AC51" s="172">
        <v>5</v>
      </c>
      <c r="AD51" s="170">
        <v>6</v>
      </c>
      <c r="AE51" s="170">
        <v>9</v>
      </c>
      <c r="AF51" s="175">
        <v>2</v>
      </c>
      <c r="AG51" s="172">
        <v>1</v>
      </c>
      <c r="AH51" s="170"/>
      <c r="AI51" s="170"/>
      <c r="AJ51" s="170">
        <v>9</v>
      </c>
      <c r="AK51" s="170"/>
      <c r="AL51" s="384"/>
      <c r="AM51" s="527">
        <f t="shared" si="6"/>
        <v>32</v>
      </c>
      <c r="AN51" s="534">
        <f>IF($B$119="S",IF($E$22="Y",AC51+AD51+AF51+AG51,0),0)</f>
        <v>0</v>
      </c>
      <c r="AO51" s="535">
        <f>IF($B$119="S",IF($E$22="Y",AP51-AQ51-AR51-AS51,0),0)</f>
        <v>0</v>
      </c>
      <c r="AP51" s="536">
        <f>SUM(AQ51:AY51)</f>
        <v>138</v>
      </c>
      <c r="AQ51" s="172">
        <v>100</v>
      </c>
      <c r="AR51" s="170">
        <v>32</v>
      </c>
      <c r="AS51" s="170">
        <v>0</v>
      </c>
      <c r="AT51" s="170">
        <v>2</v>
      </c>
      <c r="AU51" s="170"/>
      <c r="AV51" s="170"/>
      <c r="AW51" s="170"/>
      <c r="AX51" s="170">
        <v>4</v>
      </c>
      <c r="AY51" s="384"/>
      <c r="AZ51" s="390">
        <v>120</v>
      </c>
      <c r="BA51" s="170">
        <v>20</v>
      </c>
      <c r="BB51" s="170">
        <v>655</v>
      </c>
      <c r="BC51" s="170">
        <v>512</v>
      </c>
      <c r="BD51" s="170">
        <v>20</v>
      </c>
      <c r="BE51" s="170"/>
      <c r="BF51" s="381"/>
      <c r="BG51" s="536">
        <f t="shared" si="8"/>
        <v>1327</v>
      </c>
      <c r="BH51" s="374">
        <v>0</v>
      </c>
      <c r="BI51" s="547">
        <f t="shared" si="9"/>
        <v>815</v>
      </c>
    </row>
    <row r="52" spans="8:61" ht="49" customHeight="1" x14ac:dyDescent="0.2">
      <c r="I52" s="613"/>
      <c r="J52" s="607"/>
      <c r="K52" s="149" t="s">
        <v>26</v>
      </c>
      <c r="L52" s="722" t="str">
        <f>M46</f>
        <v xml:space="preserve"> *  *  *  *  *  *  * </v>
      </c>
      <c r="M52" s="723"/>
      <c r="N52" s="723"/>
      <c r="O52" s="723"/>
      <c r="P52" s="724"/>
      <c r="R52" s="88"/>
      <c r="S52" s="622"/>
      <c r="T52" s="573"/>
      <c r="U52" s="180" t="s">
        <v>119</v>
      </c>
      <c r="V52" s="92">
        <v>17</v>
      </c>
      <c r="W52" s="507">
        <f t="shared" si="7"/>
        <v>512</v>
      </c>
      <c r="X52" s="99">
        <v>33</v>
      </c>
      <c r="Y52" s="165"/>
      <c r="Z52" s="520">
        <f t="shared" si="10"/>
        <v>44</v>
      </c>
      <c r="AA52" s="507">
        <f>IF(AND($B$119="S",$E$21="Y"),0,IF($E$15="N",BI52,AZ52+BA52+BD52))</f>
        <v>815</v>
      </c>
      <c r="AB52" s="521">
        <f t="shared" si="11"/>
        <v>138</v>
      </c>
      <c r="AC52" s="119">
        <v>5</v>
      </c>
      <c r="AD52" s="91">
        <v>14</v>
      </c>
      <c r="AE52" s="91">
        <v>12</v>
      </c>
      <c r="AF52" s="176">
        <v>2</v>
      </c>
      <c r="AG52" s="119">
        <v>2</v>
      </c>
      <c r="AH52" s="91"/>
      <c r="AI52" s="91"/>
      <c r="AJ52" s="91">
        <v>9</v>
      </c>
      <c r="AK52" s="91"/>
      <c r="AL52" s="385"/>
      <c r="AM52" s="528">
        <f t="shared" si="6"/>
        <v>44</v>
      </c>
      <c r="AN52" s="537">
        <f>IF($B$119="S",IF($E$22="Y",AC52+AD52+AF52+AG52,0),0)</f>
        <v>0</v>
      </c>
      <c r="AO52" s="538">
        <f>IF($B$119="S",IF($E$22="Y",AP52-AQ52-AR52-AS52,0),0)</f>
        <v>0</v>
      </c>
      <c r="AP52" s="539">
        <f>SUM(AQ52:AY52)</f>
        <v>138</v>
      </c>
      <c r="AQ52" s="119">
        <v>100</v>
      </c>
      <c r="AR52" s="91">
        <v>32</v>
      </c>
      <c r="AS52" s="369">
        <v>0</v>
      </c>
      <c r="AT52" s="369">
        <v>2</v>
      </c>
      <c r="AU52" s="369"/>
      <c r="AV52" s="369"/>
      <c r="AW52" s="369"/>
      <c r="AX52" s="369">
        <v>4</v>
      </c>
      <c r="AY52" s="395"/>
      <c r="AZ52" s="391">
        <v>120</v>
      </c>
      <c r="BA52" s="91">
        <v>20</v>
      </c>
      <c r="BB52" s="91">
        <v>655</v>
      </c>
      <c r="BC52" s="91">
        <v>512</v>
      </c>
      <c r="BD52" s="91">
        <v>20</v>
      </c>
      <c r="BE52" s="91"/>
      <c r="BF52" s="382"/>
      <c r="BG52" s="539">
        <f t="shared" si="8"/>
        <v>1327</v>
      </c>
      <c r="BH52" s="375">
        <v>0</v>
      </c>
      <c r="BI52" s="548">
        <f t="shared" si="9"/>
        <v>815</v>
      </c>
    </row>
    <row r="53" spans="8:61" ht="17" thickBot="1" x14ac:dyDescent="0.25">
      <c r="I53" s="613"/>
      <c r="J53" s="608"/>
      <c r="K53" s="147" t="s">
        <v>27</v>
      </c>
      <c r="L53" s="725">
        <f>IF(E16="One for All",1+SUM(J21:J28),SUM(J21:J28))</f>
        <v>0</v>
      </c>
      <c r="M53" s="103"/>
      <c r="N53" s="103"/>
      <c r="O53" s="103"/>
      <c r="P53" s="104"/>
      <c r="S53" s="622"/>
      <c r="T53" s="574"/>
      <c r="U53" s="119" t="s">
        <v>20</v>
      </c>
      <c r="V53" s="97">
        <v>17</v>
      </c>
      <c r="W53" s="511">
        <f t="shared" si="7"/>
        <v>1024</v>
      </c>
      <c r="X53" s="99">
        <v>72</v>
      </c>
      <c r="Y53" s="165"/>
      <c r="Z53" s="520">
        <f t="shared" si="10"/>
        <v>44</v>
      </c>
      <c r="AA53" s="507">
        <f>IF(AND($B$119="S",$E$21="Y"),0,IF($E$15="N",BI53,AZ53+BA53+BD53))</f>
        <v>815</v>
      </c>
      <c r="AB53" s="521">
        <f t="shared" si="11"/>
        <v>138</v>
      </c>
      <c r="AC53" s="119">
        <v>5</v>
      </c>
      <c r="AD53" s="91">
        <v>14</v>
      </c>
      <c r="AE53" s="91">
        <v>12</v>
      </c>
      <c r="AF53" s="176">
        <v>2</v>
      </c>
      <c r="AG53" s="119">
        <v>2</v>
      </c>
      <c r="AH53" s="91"/>
      <c r="AI53" s="91"/>
      <c r="AJ53" s="91">
        <v>9</v>
      </c>
      <c r="AK53" s="91"/>
      <c r="AL53" s="385"/>
      <c r="AM53" s="528">
        <f t="shared" si="6"/>
        <v>44</v>
      </c>
      <c r="AN53" s="537">
        <f>IF($B$119="S",IF($E$22="Y",AC53+AD53+AF53+AG53,0),0)</f>
        <v>0</v>
      </c>
      <c r="AO53" s="538">
        <f>IF($B$119="S",IF($E$22="Y",AP53-AQ53-AR53-AS53,0),0)</f>
        <v>0</v>
      </c>
      <c r="AP53" s="539">
        <f>SUM(AQ53:AY53)</f>
        <v>138</v>
      </c>
      <c r="AQ53" s="119">
        <v>100</v>
      </c>
      <c r="AR53" s="91">
        <v>32</v>
      </c>
      <c r="AS53" s="369">
        <v>0</v>
      </c>
      <c r="AT53" s="369">
        <v>2</v>
      </c>
      <c r="AU53" s="369"/>
      <c r="AV53" s="369"/>
      <c r="AW53" s="369"/>
      <c r="AX53" s="369">
        <v>4</v>
      </c>
      <c r="AY53" s="395"/>
      <c r="AZ53" s="391">
        <v>120</v>
      </c>
      <c r="BA53" s="91">
        <v>20</v>
      </c>
      <c r="BB53" s="91">
        <v>655</v>
      </c>
      <c r="BC53" s="91">
        <v>1024</v>
      </c>
      <c r="BD53" s="91">
        <v>20</v>
      </c>
      <c r="BE53" s="91"/>
      <c r="BF53" s="382"/>
      <c r="BG53" s="539">
        <f t="shared" si="8"/>
        <v>1839</v>
      </c>
      <c r="BH53" s="375">
        <v>0</v>
      </c>
      <c r="BI53" s="548">
        <f t="shared" si="9"/>
        <v>815</v>
      </c>
    </row>
    <row r="54" spans="8:61" ht="22" customHeight="1" thickBot="1" x14ac:dyDescent="0.25">
      <c r="I54" s="613"/>
      <c r="J54" s="730"/>
      <c r="K54" s="731"/>
      <c r="L54" s="731"/>
      <c r="M54" s="731"/>
      <c r="N54" s="732"/>
      <c r="O54" s="105"/>
      <c r="P54" s="17"/>
      <c r="S54" s="622"/>
      <c r="T54" s="164" t="s">
        <v>80</v>
      </c>
      <c r="U54" s="119" t="s">
        <v>22</v>
      </c>
      <c r="V54" s="102">
        <v>28</v>
      </c>
      <c r="W54" s="512">
        <f t="shared" si="7"/>
        <v>2048</v>
      </c>
      <c r="X54" s="99">
        <v>101</v>
      </c>
      <c r="Y54" s="165"/>
      <c r="Z54" s="520">
        <f t="shared" si="10"/>
        <v>66</v>
      </c>
      <c r="AA54" s="507">
        <f>IF(AND($B$119="S",$E$21="Y"),0,IF($E$15="N",BI54,AZ54+BA54+BD54))</f>
        <v>825</v>
      </c>
      <c r="AB54" s="521">
        <f t="shared" si="11"/>
        <v>267</v>
      </c>
      <c r="AC54" s="119">
        <v>8</v>
      </c>
      <c r="AD54" s="91">
        <v>28</v>
      </c>
      <c r="AE54" s="91">
        <v>17</v>
      </c>
      <c r="AF54" s="176">
        <v>2</v>
      </c>
      <c r="AG54" s="119">
        <v>2</v>
      </c>
      <c r="AH54" s="91"/>
      <c r="AI54" s="91"/>
      <c r="AJ54" s="91">
        <v>9</v>
      </c>
      <c r="AK54" s="91"/>
      <c r="AL54" s="385"/>
      <c r="AM54" s="528">
        <f t="shared" si="6"/>
        <v>66</v>
      </c>
      <c r="AN54" s="537">
        <f>IF($B$119="S",IF($E$22="Y",AC54+AD54+AF54+AG54,0),0)</f>
        <v>0</v>
      </c>
      <c r="AO54" s="538">
        <f>IF($B$119="S",IF($E$22="Y",AP54-AQ54-AR54-AS54,0),0)</f>
        <v>0</v>
      </c>
      <c r="AP54" s="539">
        <f>SUM(AQ54:AY54)</f>
        <v>267</v>
      </c>
      <c r="AQ54" s="119">
        <v>228</v>
      </c>
      <c r="AR54" s="91">
        <v>32</v>
      </c>
      <c r="AS54" s="369">
        <v>0</v>
      </c>
      <c r="AT54" s="369">
        <v>3</v>
      </c>
      <c r="AU54" s="369"/>
      <c r="AV54" s="369"/>
      <c r="AW54" s="369"/>
      <c r="AX54" s="369">
        <v>4</v>
      </c>
      <c r="AY54" s="395"/>
      <c r="AZ54" s="391">
        <v>120</v>
      </c>
      <c r="BA54" s="91">
        <v>20</v>
      </c>
      <c r="BB54" s="91">
        <v>655</v>
      </c>
      <c r="BC54" s="91">
        <v>2048</v>
      </c>
      <c r="BD54" s="91">
        <v>30</v>
      </c>
      <c r="BE54" s="91"/>
      <c r="BF54" s="382"/>
      <c r="BG54" s="539">
        <f t="shared" si="8"/>
        <v>2873</v>
      </c>
      <c r="BH54" s="375">
        <v>0</v>
      </c>
      <c r="BI54" s="548">
        <f t="shared" si="9"/>
        <v>825</v>
      </c>
    </row>
    <row r="55" spans="8:61" ht="22" customHeight="1" thickBot="1" x14ac:dyDescent="0.3">
      <c r="I55" s="613"/>
      <c r="J55" s="727" t="s">
        <v>28</v>
      </c>
      <c r="K55" s="501" t="s">
        <v>29</v>
      </c>
      <c r="L55" s="106"/>
      <c r="M55" s="107" t="s">
        <v>72</v>
      </c>
      <c r="N55" s="108" t="s">
        <v>67</v>
      </c>
      <c r="O55" s="109" t="s">
        <v>40</v>
      </c>
      <c r="P55" s="110" t="s">
        <v>42</v>
      </c>
      <c r="S55" s="622"/>
      <c r="T55" s="575" t="s">
        <v>121</v>
      </c>
      <c r="U55" s="119" t="s">
        <v>2</v>
      </c>
      <c r="V55" s="98">
        <v>105</v>
      </c>
      <c r="W55" s="511">
        <f t="shared" si="7"/>
        <v>2048</v>
      </c>
      <c r="X55" s="99">
        <v>1500</v>
      </c>
      <c r="Y55" s="165"/>
      <c r="Z55" s="520">
        <f t="shared" si="10"/>
        <v>102</v>
      </c>
      <c r="AA55" s="507">
        <f>IF(AND($B$119="S",$E$21="Y"),0,IF($E$15="N",BI55,AZ55+BA55+BD55))</f>
        <v>835</v>
      </c>
      <c r="AB55" s="521">
        <f t="shared" si="11"/>
        <v>707</v>
      </c>
      <c r="AC55" s="119">
        <v>8</v>
      </c>
      <c r="AD55" s="91">
        <v>37</v>
      </c>
      <c r="AE55" s="91">
        <v>33</v>
      </c>
      <c r="AF55" s="176">
        <v>2</v>
      </c>
      <c r="AG55" s="119">
        <v>4</v>
      </c>
      <c r="AH55" s="91"/>
      <c r="AI55" s="91"/>
      <c r="AJ55" s="91">
        <v>18</v>
      </c>
      <c r="AK55" s="91"/>
      <c r="AL55" s="385"/>
      <c r="AM55" s="528">
        <f t="shared" si="6"/>
        <v>102</v>
      </c>
      <c r="AN55" s="537">
        <f>IF($B$119="S",IF($E$22="Y",AC55+AD55+AF55+AG55,0),0)</f>
        <v>0</v>
      </c>
      <c r="AO55" s="538">
        <f>IF($B$119="S",IF($E$22="Y",AP55-AQ55-AR55-AS55,0),0)</f>
        <v>0</v>
      </c>
      <c r="AP55" s="539">
        <f>SUM(AQ55:AY55)</f>
        <v>707</v>
      </c>
      <c r="AQ55" s="119">
        <v>484</v>
      </c>
      <c r="AR55" s="91">
        <v>120</v>
      </c>
      <c r="AS55" s="369">
        <v>0</v>
      </c>
      <c r="AT55" s="369">
        <v>3</v>
      </c>
      <c r="AU55" s="369">
        <v>96</v>
      </c>
      <c r="AV55" s="369"/>
      <c r="AW55" s="369"/>
      <c r="AX55" s="369">
        <v>4</v>
      </c>
      <c r="AY55" s="395"/>
      <c r="AZ55" s="391">
        <v>120</v>
      </c>
      <c r="BA55" s="91">
        <v>20</v>
      </c>
      <c r="BB55" s="91">
        <v>655</v>
      </c>
      <c r="BC55" s="91">
        <v>2048</v>
      </c>
      <c r="BD55" s="91">
        <v>40</v>
      </c>
      <c r="BE55" s="91"/>
      <c r="BF55" s="382"/>
      <c r="BG55" s="539">
        <f t="shared" si="8"/>
        <v>2883</v>
      </c>
      <c r="BH55" s="375">
        <v>0</v>
      </c>
      <c r="BI55" s="548">
        <f t="shared" si="9"/>
        <v>835</v>
      </c>
    </row>
    <row r="56" spans="8:61" ht="17" customHeight="1" thickBot="1" x14ac:dyDescent="0.25">
      <c r="I56" s="613"/>
      <c r="J56" s="728"/>
      <c r="K56" s="502" t="s">
        <v>30</v>
      </c>
      <c r="L56" s="503" t="s">
        <v>17</v>
      </c>
      <c r="M56" s="504" t="s">
        <v>18</v>
      </c>
      <c r="N56" s="505" t="s">
        <v>31</v>
      </c>
      <c r="O56" s="111" t="s">
        <v>71</v>
      </c>
      <c r="P56" s="112"/>
      <c r="Q56" s="88"/>
      <c r="S56" s="622"/>
      <c r="T56" s="576"/>
      <c r="U56" s="125" t="s">
        <v>58</v>
      </c>
      <c r="V56" s="255">
        <f>V55+V54</f>
        <v>133</v>
      </c>
      <c r="W56" s="513">
        <f t="shared" si="7"/>
        <v>4096</v>
      </c>
      <c r="X56" s="256">
        <f>X55+X54</f>
        <v>1601</v>
      </c>
      <c r="Y56" s="165"/>
      <c r="Z56" s="522">
        <f t="shared" si="10"/>
        <v>158</v>
      </c>
      <c r="AA56" s="508">
        <f>IF(AND($B$119="S",$E$21="Y"),0,IF($E$15="N",BI56,AZ56+BA56+BD56))</f>
        <v>865</v>
      </c>
      <c r="AB56" s="523">
        <f t="shared" si="11"/>
        <v>974</v>
      </c>
      <c r="AC56" s="173">
        <v>8</v>
      </c>
      <c r="AD56" s="174">
        <f>AD55+AD54</f>
        <v>65</v>
      </c>
      <c r="AE56" s="257">
        <f>AE55+AE54</f>
        <v>50</v>
      </c>
      <c r="AF56" s="177">
        <v>2</v>
      </c>
      <c r="AG56" s="173">
        <v>6</v>
      </c>
      <c r="AH56" s="174"/>
      <c r="AI56" s="174"/>
      <c r="AJ56" s="257">
        <f>AJ55+AJ54</f>
        <v>27</v>
      </c>
      <c r="AK56" s="257"/>
      <c r="AL56" s="387"/>
      <c r="AM56" s="530">
        <f t="shared" si="6"/>
        <v>158</v>
      </c>
      <c r="AN56" s="540">
        <f>IF($B$119="S",IF($E$22="Y",AC56+AD56+AF56+AG56,0),0)</f>
        <v>0</v>
      </c>
      <c r="AO56" s="541">
        <f>IF($B$119="S",IF($E$22="Y",AP56-AQ56-AR56-AS56,0),0)</f>
        <v>0</v>
      </c>
      <c r="AP56" s="542">
        <f>AP54+AP55</f>
        <v>974</v>
      </c>
      <c r="AQ56" s="258">
        <f>AQ54+AQ55</f>
        <v>712</v>
      </c>
      <c r="AR56" s="257">
        <f>AR55+AR54</f>
        <v>152</v>
      </c>
      <c r="AS56" s="397">
        <v>0</v>
      </c>
      <c r="AT56" s="371" t="s">
        <v>184</v>
      </c>
      <c r="AU56" s="371"/>
      <c r="AV56" s="371"/>
      <c r="AW56" s="371"/>
      <c r="AX56" s="371"/>
      <c r="AY56" s="398"/>
      <c r="AZ56" s="392">
        <f>AZ55</f>
        <v>120</v>
      </c>
      <c r="BA56" s="174">
        <f>BA55</f>
        <v>20</v>
      </c>
      <c r="BB56" s="174">
        <f>BB55</f>
        <v>655</v>
      </c>
      <c r="BC56" s="174">
        <f>BC55+BC54</f>
        <v>4096</v>
      </c>
      <c r="BD56" s="174">
        <f>BD55+BD54</f>
        <v>70</v>
      </c>
      <c r="BE56" s="469"/>
      <c r="BF56" s="456"/>
      <c r="BG56" s="545">
        <f t="shared" si="8"/>
        <v>4961</v>
      </c>
      <c r="BH56" s="376">
        <v>0</v>
      </c>
      <c r="BI56" s="549">
        <f t="shared" si="9"/>
        <v>865</v>
      </c>
    </row>
    <row r="57" spans="8:61" x14ac:dyDescent="0.2">
      <c r="I57" s="613"/>
      <c r="J57" s="728"/>
      <c r="K57" s="259" t="str">
        <f>D21</f>
        <v>Manage</v>
      </c>
      <c r="L57" s="274" t="str">
        <f>K21</f>
        <v>None</v>
      </c>
      <c r="M57" s="260">
        <f>M21</f>
        <v>0</v>
      </c>
      <c r="N57" s="261">
        <f>N21</f>
        <v>0</v>
      </c>
      <c r="O57" s="262">
        <f>O21</f>
        <v>0</v>
      </c>
      <c r="P57" s="114"/>
      <c r="S57" s="622"/>
      <c r="T57" s="572" t="s">
        <v>13</v>
      </c>
      <c r="U57" s="169" t="s">
        <v>120</v>
      </c>
      <c r="V57" s="179">
        <v>4</v>
      </c>
      <c r="W57" s="509">
        <f>IF(OR($E$15="Y",$E$21="Y"),BH57,BC57+BH57)</f>
        <v>256</v>
      </c>
      <c r="X57" s="154">
        <v>0</v>
      </c>
      <c r="Y57" s="14"/>
      <c r="Z57" s="518">
        <f>IF(AND($E$21="N",$E$15="N"),IF(AND(AN51=0,AN45=0),SUM(AC57:AJ57),SUM(AC57:AJ57)-AN57),IF(AND(AN51=0,AN45=0),SUM(AC57:AJ57),SUM(AC57:AJ57)-AN57)-AE57)</f>
        <v>28</v>
      </c>
      <c r="AA57" s="509">
        <f>IF(AND($B$119="S",OR($E$21="Y",$E$22="Y")),0,IF($E$15="N",BI57,AZ57+BA57+BD57))</f>
        <v>815</v>
      </c>
      <c r="AB57" s="519">
        <f>IF($E$21="N",IF(AND(AO45=0,AO51=0),AP57,AP57-AO57),IF(AND(AO45=0,AO51=0),AP57,AP57-AO57)-AQ57)</f>
        <v>106</v>
      </c>
      <c r="AC57" s="172">
        <v>5</v>
      </c>
      <c r="AD57" s="170">
        <v>14</v>
      </c>
      <c r="AE57" s="170">
        <v>6</v>
      </c>
      <c r="AF57" s="175">
        <v>2</v>
      </c>
      <c r="AG57" s="172">
        <v>1</v>
      </c>
      <c r="AH57" s="170"/>
      <c r="AI57" s="170"/>
      <c r="AJ57" s="170"/>
      <c r="AK57" s="170"/>
      <c r="AL57" s="384"/>
      <c r="AM57" s="527">
        <f t="shared" si="6"/>
        <v>28</v>
      </c>
      <c r="AN57" s="534">
        <f>IF($B$119="S",IF($E$23="Y",AC57+AD57+AF57+AG57,0),0)</f>
        <v>0</v>
      </c>
      <c r="AO57" s="535">
        <f>IF($B$119="S",IF($E$23="Y",AP57-AQ57-AR57-AS57,0),0)</f>
        <v>0</v>
      </c>
      <c r="AP57" s="536">
        <f>SUM(AQ57:AY57)</f>
        <v>106</v>
      </c>
      <c r="AQ57" s="172">
        <v>100</v>
      </c>
      <c r="AR57" s="170">
        <v>0</v>
      </c>
      <c r="AS57" s="170">
        <v>0</v>
      </c>
      <c r="AT57" s="170">
        <v>2</v>
      </c>
      <c r="AU57" s="170"/>
      <c r="AV57" s="170"/>
      <c r="AW57" s="170"/>
      <c r="AX57" s="170">
        <v>4</v>
      </c>
      <c r="AY57" s="384"/>
      <c r="AZ57" s="390">
        <v>120</v>
      </c>
      <c r="BA57" s="170">
        <v>20</v>
      </c>
      <c r="BB57" s="170">
        <v>655</v>
      </c>
      <c r="BC57" s="170">
        <v>256</v>
      </c>
      <c r="BD57" s="170">
        <v>20</v>
      </c>
      <c r="BE57" s="170"/>
      <c r="BF57" s="381"/>
      <c r="BG57" s="536">
        <f t="shared" si="8"/>
        <v>1071</v>
      </c>
      <c r="BH57" s="374">
        <v>0</v>
      </c>
      <c r="BI57" s="547">
        <f t="shared" si="9"/>
        <v>815</v>
      </c>
    </row>
    <row r="58" spans="8:61" ht="16" customHeight="1" thickBot="1" x14ac:dyDescent="0.25">
      <c r="I58" s="613"/>
      <c r="J58" s="728"/>
      <c r="K58" s="115" t="s">
        <v>32</v>
      </c>
      <c r="L58" s="275">
        <f>IF(OR(AND(E21="N",J21&gt;0),AND($B$121="O",J21&gt;0)),"Error",J21)</f>
        <v>0</v>
      </c>
      <c r="M58" s="263">
        <f>$L$58*V45</f>
        <v>0</v>
      </c>
      <c r="N58" s="263">
        <f>L58*N57</f>
        <v>0</v>
      </c>
      <c r="O58" s="264">
        <f>$L$58*X45</f>
        <v>0</v>
      </c>
      <c r="P58" s="114"/>
      <c r="S58" s="622"/>
      <c r="T58" s="573"/>
      <c r="U58" s="180" t="s">
        <v>119</v>
      </c>
      <c r="V58" s="92">
        <v>4</v>
      </c>
      <c r="W58" s="507">
        <f>IF(OR($E$15="Y",$E$21="Y"),BH58,BC58+BH58)</f>
        <v>256</v>
      </c>
      <c r="X58" s="99">
        <v>0</v>
      </c>
      <c r="Y58" s="165"/>
      <c r="Z58" s="520">
        <f>IF(AND($E$21="N",$E$15="N"),IF(AND(AN52=0,AN46=0),SUM(AC58:AJ58),SUM(AC58:AJ58)-AN58),IF(AND(AN52=0,AN46=0),SUM(AC58:AJ58),SUM(AC58:AJ58)-AN58)-AE58)</f>
        <v>35</v>
      </c>
      <c r="AA58" s="507">
        <f>IF(AND($B$119="S",OR($E$21="Y",$E$22="Y")),0,IF($E$15="N",BI58,AZ58+BA58+BD58))</f>
        <v>815</v>
      </c>
      <c r="AB58" s="521">
        <f>IF($E$21="N",IF(AND(AO46=0,AO52=0),AP58,AP58-AO58),IF(AND(AO46=0,AO52=0),AP58,AP58-AO58)-AQ58)</f>
        <v>106</v>
      </c>
      <c r="AC58" s="119">
        <v>5</v>
      </c>
      <c r="AD58" s="91">
        <v>14</v>
      </c>
      <c r="AE58" s="91">
        <v>12</v>
      </c>
      <c r="AF58" s="176">
        <v>2</v>
      </c>
      <c r="AG58" s="119">
        <v>2</v>
      </c>
      <c r="AH58" s="91"/>
      <c r="AI58" s="91"/>
      <c r="AJ58" s="91"/>
      <c r="AK58" s="91"/>
      <c r="AL58" s="385"/>
      <c r="AM58" s="528">
        <f t="shared" si="6"/>
        <v>35</v>
      </c>
      <c r="AN58" s="537">
        <f>IF($B$119="S",IF($E$23="Y",AC58+AD58+AF58+AG58,0),0)</f>
        <v>0</v>
      </c>
      <c r="AO58" s="538">
        <f>IF($B$119="S",IF($E$23="Y",AP58-AQ58-AR58-AS58,0),0)</f>
        <v>0</v>
      </c>
      <c r="AP58" s="539">
        <f>SUM(AQ58:AY58)</f>
        <v>106</v>
      </c>
      <c r="AQ58" s="119">
        <v>100</v>
      </c>
      <c r="AR58" s="91"/>
      <c r="AS58" s="369"/>
      <c r="AT58" s="369">
        <v>2</v>
      </c>
      <c r="AU58" s="369"/>
      <c r="AV58" s="369"/>
      <c r="AW58" s="369"/>
      <c r="AX58" s="369">
        <v>4</v>
      </c>
      <c r="AY58" s="395"/>
      <c r="AZ58" s="391">
        <v>120</v>
      </c>
      <c r="BA58" s="91">
        <v>20</v>
      </c>
      <c r="BB58" s="91">
        <v>655</v>
      </c>
      <c r="BC58" s="91">
        <v>256</v>
      </c>
      <c r="BD58" s="91">
        <v>20</v>
      </c>
      <c r="BE58" s="91"/>
      <c r="BF58" s="382"/>
      <c r="BG58" s="539">
        <f t="shared" si="8"/>
        <v>1071</v>
      </c>
      <c r="BH58" s="375">
        <v>0</v>
      </c>
      <c r="BI58" s="548">
        <f t="shared" si="9"/>
        <v>815</v>
      </c>
    </row>
    <row r="59" spans="8:61" ht="16" customHeight="1" thickBot="1" x14ac:dyDescent="0.25">
      <c r="I59" s="613"/>
      <c r="J59" s="728"/>
      <c r="K59" s="259" t="str">
        <f>D22</f>
        <v>Monitor</v>
      </c>
      <c r="L59" s="274" t="str">
        <f>K22</f>
        <v>None</v>
      </c>
      <c r="M59" s="265">
        <f>M22</f>
        <v>0</v>
      </c>
      <c r="N59" s="261">
        <f>N22</f>
        <v>0</v>
      </c>
      <c r="O59" s="262">
        <f>O22</f>
        <v>0</v>
      </c>
      <c r="P59" s="114"/>
      <c r="S59" s="622"/>
      <c r="T59" s="574"/>
      <c r="U59" s="119" t="s">
        <v>20</v>
      </c>
      <c r="V59" s="266">
        <v>4</v>
      </c>
      <c r="W59" s="511">
        <f>IF(OR($E$15="Y",$E$21="Y"),BH59,BC59+BH59)</f>
        <v>512</v>
      </c>
      <c r="X59" s="99">
        <v>0</v>
      </c>
      <c r="Y59" s="165"/>
      <c r="Z59" s="520">
        <f>IF(AND($E$21="N",$E$15="N"),IF(AND(AN53=0,AN47=0),SUM(AC59:AJ59),SUM(AC59:AJ59)-AN59),IF(AND(AN53=0,AN47=0),SUM(AC59:AJ59),SUM(AC59:AJ59)-AN59)-AE59)</f>
        <v>35</v>
      </c>
      <c r="AA59" s="507">
        <f>IF(AND($B$119="S",OR($E$21="Y",$E$22="Y")),0,IF($E$15="N",BI59,AZ59+BA59+BD59))</f>
        <v>815</v>
      </c>
      <c r="AB59" s="521">
        <f>IF($E$21="N",IF(AND(AO47=0,AO53=0),AP59,AP59-AO59),IF(AND(AO47=0,AO53=0),AP59,AP59-AO59)-AQ59)</f>
        <v>106</v>
      </c>
      <c r="AC59" s="119">
        <v>5</v>
      </c>
      <c r="AD59" s="91">
        <v>14</v>
      </c>
      <c r="AE59" s="91">
        <v>12</v>
      </c>
      <c r="AF59" s="176">
        <v>2</v>
      </c>
      <c r="AG59" s="119">
        <v>2</v>
      </c>
      <c r="AH59" s="91"/>
      <c r="AI59" s="91"/>
      <c r="AJ59" s="91"/>
      <c r="AK59" s="91"/>
      <c r="AL59" s="385"/>
      <c r="AM59" s="528">
        <f t="shared" si="6"/>
        <v>35</v>
      </c>
      <c r="AN59" s="537">
        <f>IF($B$119="S",IF($E$23="Y",AC59+AD59+AF59+AG59,0),0)</f>
        <v>0</v>
      </c>
      <c r="AO59" s="538">
        <f>IF($B$119="S",IF($E$23="Y",AP59-AQ59-AR59-AS59,0),0)</f>
        <v>0</v>
      </c>
      <c r="AP59" s="539">
        <f>SUM(AQ59:AY59)</f>
        <v>106</v>
      </c>
      <c r="AQ59" s="119">
        <v>100</v>
      </c>
      <c r="AR59" s="91"/>
      <c r="AS59" s="369"/>
      <c r="AT59" s="369">
        <v>2</v>
      </c>
      <c r="AU59" s="369"/>
      <c r="AV59" s="369"/>
      <c r="AW59" s="369"/>
      <c r="AX59" s="369">
        <v>4</v>
      </c>
      <c r="AY59" s="395"/>
      <c r="AZ59" s="391">
        <v>120</v>
      </c>
      <c r="BA59" s="91">
        <v>20</v>
      </c>
      <c r="BB59" s="91">
        <v>655</v>
      </c>
      <c r="BC59" s="91">
        <v>512</v>
      </c>
      <c r="BD59" s="91">
        <v>20</v>
      </c>
      <c r="BE59" s="91"/>
      <c r="BF59" s="382"/>
      <c r="BG59" s="539">
        <f t="shared" si="8"/>
        <v>1327</v>
      </c>
      <c r="BH59" s="375">
        <v>0</v>
      </c>
      <c r="BI59" s="548">
        <f t="shared" si="9"/>
        <v>815</v>
      </c>
    </row>
    <row r="60" spans="8:61" ht="17" thickBot="1" x14ac:dyDescent="0.25">
      <c r="I60" s="613"/>
      <c r="J60" s="728"/>
      <c r="K60" s="115" t="s">
        <v>33</v>
      </c>
      <c r="L60" s="275">
        <f>J22</f>
        <v>0</v>
      </c>
      <c r="M60" s="263">
        <f>$L$60*V51</f>
        <v>0</v>
      </c>
      <c r="N60" s="263">
        <f>L60*N59</f>
        <v>0</v>
      </c>
      <c r="O60" s="264">
        <f>$L$60*X51</f>
        <v>0</v>
      </c>
      <c r="P60" s="114"/>
      <c r="S60" s="622"/>
      <c r="T60" s="164" t="s">
        <v>80</v>
      </c>
      <c r="U60" s="119" t="s">
        <v>22</v>
      </c>
      <c r="V60" s="267">
        <v>4</v>
      </c>
      <c r="W60" s="512">
        <f>IF(OR($E$15="Y",$E$21="Y"),BH60,BC60+BH60)</f>
        <v>1024</v>
      </c>
      <c r="X60" s="99">
        <v>0</v>
      </c>
      <c r="Y60" s="165"/>
      <c r="Z60" s="520">
        <f>IF(AND($E$21="N",$E$15="N"),IF(AND(AN54=0,AN48=0),SUM(AC60:AJ60),SUM(AC60:AJ60)-AN60),IF(AND(AN54=0,AN48=0),SUM(AC60:AJ60),SUM(AC60:AJ60)-AN60)-AE60)</f>
        <v>57</v>
      </c>
      <c r="AA60" s="507">
        <f>IF(AND($B$119="S",OR($E$21="Y",$E$22="Y")),0,IF($E$15="N",BI60,AZ60+BA60+BD60))</f>
        <v>825</v>
      </c>
      <c r="AB60" s="521">
        <f>IF($E$21="N",IF(AND(AO48=0,AO54=0),AP60,AP60-AO60),IF(AND(AO48=0,AO54=0),AP60,AP60-AO60)-AQ60)</f>
        <v>235</v>
      </c>
      <c r="AC60" s="119">
        <v>8</v>
      </c>
      <c r="AD60" s="91">
        <v>28</v>
      </c>
      <c r="AE60" s="91">
        <v>17</v>
      </c>
      <c r="AF60" s="176">
        <v>2</v>
      </c>
      <c r="AG60" s="119">
        <v>2</v>
      </c>
      <c r="AH60" s="91"/>
      <c r="AI60" s="91"/>
      <c r="AJ60" s="91"/>
      <c r="AK60" s="91"/>
      <c r="AL60" s="385"/>
      <c r="AM60" s="528">
        <f t="shared" si="6"/>
        <v>57</v>
      </c>
      <c r="AN60" s="537">
        <f>IF($B$119="S",IF($E$23="Y",AC60+AD60+AF60+AG60,0),0)</f>
        <v>0</v>
      </c>
      <c r="AO60" s="538">
        <f>IF($B$119="S",IF($E$23="Y",AP60-AQ60-AR60-AS60,0),0)</f>
        <v>0</v>
      </c>
      <c r="AP60" s="539">
        <f>SUM(AQ60:AY60)</f>
        <v>235</v>
      </c>
      <c r="AQ60" s="119">
        <v>228</v>
      </c>
      <c r="AR60" s="91"/>
      <c r="AS60" s="369"/>
      <c r="AT60" s="369">
        <v>3</v>
      </c>
      <c r="AU60" s="369"/>
      <c r="AV60" s="369"/>
      <c r="AW60" s="369"/>
      <c r="AX60" s="369">
        <v>4</v>
      </c>
      <c r="AY60" s="395"/>
      <c r="AZ60" s="391">
        <v>120</v>
      </c>
      <c r="BA60" s="91">
        <v>20</v>
      </c>
      <c r="BB60" s="91">
        <v>655</v>
      </c>
      <c r="BC60" s="91">
        <v>1024</v>
      </c>
      <c r="BD60" s="91">
        <v>30</v>
      </c>
      <c r="BE60" s="91"/>
      <c r="BF60" s="382"/>
      <c r="BG60" s="539">
        <f t="shared" si="8"/>
        <v>1849</v>
      </c>
      <c r="BH60" s="375">
        <v>0</v>
      </c>
      <c r="BI60" s="548">
        <f t="shared" si="9"/>
        <v>825</v>
      </c>
    </row>
    <row r="61" spans="8:61" x14ac:dyDescent="0.2">
      <c r="I61" s="613"/>
      <c r="J61" s="728"/>
      <c r="K61" s="259" t="str">
        <f>D23</f>
        <v>Health</v>
      </c>
      <c r="L61" s="274" t="str">
        <f>K23</f>
        <v>None</v>
      </c>
      <c r="M61" s="260">
        <f>M23</f>
        <v>0</v>
      </c>
      <c r="N61" s="261">
        <f>N23</f>
        <v>0</v>
      </c>
      <c r="O61" s="262">
        <f>O23</f>
        <v>0</v>
      </c>
      <c r="P61" s="114"/>
      <c r="S61" s="622"/>
      <c r="T61" s="575" t="s">
        <v>121</v>
      </c>
      <c r="U61" s="119" t="s">
        <v>2</v>
      </c>
      <c r="V61" s="98">
        <v>4</v>
      </c>
      <c r="W61" s="511">
        <f>IF(OR($E$15="Y",$E$21="Y"),BH61,BC61+BH61)</f>
        <v>1200</v>
      </c>
      <c r="X61" s="99">
        <v>0</v>
      </c>
      <c r="Y61" s="165"/>
      <c r="Z61" s="520">
        <f>IF(AND($E$21="N",$E$15="N"),IF(AND(AN55=0,AN49=0),SUM(AC61:AJ61),SUM(AC61:AJ61)-AN61),IF(AND(AN55=0,AN49=0),SUM(AC61:AJ61),SUM(AC61:AJ61)-AN61)-AE61)</f>
        <v>84</v>
      </c>
      <c r="AA61" s="507">
        <f>IF(AND($B$119="S",OR($E$21="Y",$E$22="Y")),0,IF($E$15="N",BI61,AZ61+BA61+BD61))</f>
        <v>835</v>
      </c>
      <c r="AB61" s="521">
        <f>IF($E$21="N",IF(AND(AO49=0,AO55=0),AP61,AP61-AO61),IF(AND(AO49=0,AO55=0),AP61,AP61-AO61)-AQ61)</f>
        <v>587</v>
      </c>
      <c r="AC61" s="119">
        <v>8</v>
      </c>
      <c r="AD61" s="91">
        <v>37</v>
      </c>
      <c r="AE61" s="91">
        <v>33</v>
      </c>
      <c r="AF61" s="176">
        <v>2</v>
      </c>
      <c r="AG61" s="119">
        <v>4</v>
      </c>
      <c r="AH61" s="91"/>
      <c r="AI61" s="91"/>
      <c r="AJ61" s="91"/>
      <c r="AK61" s="91"/>
      <c r="AL61" s="385"/>
      <c r="AM61" s="528">
        <f t="shared" si="6"/>
        <v>84</v>
      </c>
      <c r="AN61" s="537">
        <f>IF($B$119="S",IF($E$23="Y",AC61+AD61+AF61+AG61,0),0)</f>
        <v>0</v>
      </c>
      <c r="AO61" s="538">
        <f>IF($B$119="S",IF($E$23="Y",AP61-AQ61-AR61-AS61,0),0)</f>
        <v>0</v>
      </c>
      <c r="AP61" s="539">
        <f>SUM(AQ61:AY61)</f>
        <v>587</v>
      </c>
      <c r="AQ61" s="119">
        <v>484</v>
      </c>
      <c r="AR61" s="91"/>
      <c r="AS61" s="369"/>
      <c r="AT61" s="369">
        <v>3</v>
      </c>
      <c r="AU61" s="369">
        <v>96</v>
      </c>
      <c r="AV61" s="369"/>
      <c r="AW61" s="369"/>
      <c r="AX61" s="369">
        <v>4</v>
      </c>
      <c r="AY61" s="395"/>
      <c r="AZ61" s="391">
        <v>120</v>
      </c>
      <c r="BA61" s="91">
        <v>20</v>
      </c>
      <c r="BB61" s="91">
        <v>655</v>
      </c>
      <c r="BC61" s="91">
        <v>1200</v>
      </c>
      <c r="BD61" s="91">
        <v>40</v>
      </c>
      <c r="BE61" s="91"/>
      <c r="BF61" s="382"/>
      <c r="BG61" s="539">
        <f t="shared" si="8"/>
        <v>2035</v>
      </c>
      <c r="BH61" s="375">
        <v>0</v>
      </c>
      <c r="BI61" s="548">
        <f t="shared" si="9"/>
        <v>835</v>
      </c>
    </row>
    <row r="62" spans="8:61" ht="17" thickBot="1" x14ac:dyDescent="0.25">
      <c r="I62" s="613"/>
      <c r="J62" s="728"/>
      <c r="K62" s="115" t="s">
        <v>34</v>
      </c>
      <c r="L62" s="275">
        <f>J23</f>
        <v>0</v>
      </c>
      <c r="M62" s="263">
        <f>$L$62*V57</f>
        <v>0</v>
      </c>
      <c r="N62" s="263">
        <f>L62*N61</f>
        <v>0</v>
      </c>
      <c r="O62" s="264">
        <f>$L$62*X57</f>
        <v>0</v>
      </c>
      <c r="P62" s="114"/>
      <c r="S62" s="622"/>
      <c r="T62" s="576"/>
      <c r="U62" s="125" t="s">
        <v>58</v>
      </c>
      <c r="V62" s="255">
        <f>V61+V60</f>
        <v>8</v>
      </c>
      <c r="W62" s="513">
        <f>IF(OR($E$15="Y",$E$21="Y"),BH62,BC62+BH62)</f>
        <v>2224</v>
      </c>
      <c r="X62" s="256">
        <v>3</v>
      </c>
      <c r="Y62" s="165"/>
      <c r="Z62" s="522">
        <f>IF(AND($E$21="N",$E$15="N"),IF(AND(AN56=0,AN50=0),SUM(AC62:AJ62),SUM(AC62:AJ62)-AN62),IF(AND(AN56=0,AN50=0),SUM(AC62:AJ62),SUM(AC62:AJ62)-AN62)-AE62)</f>
        <v>131</v>
      </c>
      <c r="AA62" s="508">
        <f>IF(AND($B$119="S",OR($E$21="Y",$E$22="Y")),0,IF($E$15="N",BI62,AZ62+BA62+BD62))</f>
        <v>865</v>
      </c>
      <c r="AB62" s="523">
        <f>IF($E$21="N",IF(AND(AO50=0,AO56=0),AP62,AP62-AO62),IF(AND(AO50=0,AO56=0),AP62,AP62-AO62)-AQ62)</f>
        <v>822</v>
      </c>
      <c r="AC62" s="173">
        <v>8</v>
      </c>
      <c r="AD62" s="174">
        <f>AD61+AD60</f>
        <v>65</v>
      </c>
      <c r="AE62" s="257">
        <f>AE61+AE60</f>
        <v>50</v>
      </c>
      <c r="AF62" s="177">
        <v>2</v>
      </c>
      <c r="AG62" s="173">
        <v>6</v>
      </c>
      <c r="AH62" s="174"/>
      <c r="AI62" s="174"/>
      <c r="AJ62" s="174"/>
      <c r="AK62" s="174"/>
      <c r="AL62" s="386"/>
      <c r="AM62" s="529">
        <f t="shared" si="6"/>
        <v>131</v>
      </c>
      <c r="AN62" s="540">
        <f>IF($B$119="S",IF($E$23="Y",AC62+AD62+AF62+AG62,0),0)</f>
        <v>0</v>
      </c>
      <c r="AO62" s="541">
        <f>IF($B$119="S",IF($E$23="Y",AP62-AQ62-AR62-AS62,0),0)</f>
        <v>0</v>
      </c>
      <c r="AP62" s="542">
        <f>AP60+AP61</f>
        <v>822</v>
      </c>
      <c r="AQ62" s="258">
        <f>AQ60+AQ61</f>
        <v>712</v>
      </c>
      <c r="AR62" s="174"/>
      <c r="AS62" s="397"/>
      <c r="AT62" s="371" t="s">
        <v>184</v>
      </c>
      <c r="AU62" s="371"/>
      <c r="AV62" s="371"/>
      <c r="AW62" s="371"/>
      <c r="AX62" s="371"/>
      <c r="AY62" s="398"/>
      <c r="AZ62" s="392">
        <f>AZ61</f>
        <v>120</v>
      </c>
      <c r="BA62" s="174">
        <f>BA61</f>
        <v>20</v>
      </c>
      <c r="BB62" s="174">
        <f>BB61</f>
        <v>655</v>
      </c>
      <c r="BC62" s="174">
        <f>BC61+BC60</f>
        <v>2224</v>
      </c>
      <c r="BD62" s="174">
        <f>BD61+BD60</f>
        <v>70</v>
      </c>
      <c r="BE62" s="469"/>
      <c r="BF62" s="456"/>
      <c r="BG62" s="545">
        <f t="shared" si="8"/>
        <v>3089</v>
      </c>
      <c r="BH62" s="376">
        <v>0</v>
      </c>
      <c r="BI62" s="549">
        <f t="shared" si="9"/>
        <v>865</v>
      </c>
    </row>
    <row r="63" spans="8:61" ht="15" customHeight="1" x14ac:dyDescent="0.2">
      <c r="I63" s="613"/>
      <c r="J63" s="728"/>
      <c r="K63" s="259" t="str">
        <f>D24</f>
        <v>Predict</v>
      </c>
      <c r="L63" s="274" t="str">
        <f>K24</f>
        <v>None</v>
      </c>
      <c r="M63" s="260">
        <f>M24</f>
        <v>0</v>
      </c>
      <c r="N63" s="261">
        <f>N24</f>
        <v>0</v>
      </c>
      <c r="O63" s="262">
        <f>O24</f>
        <v>0</v>
      </c>
      <c r="P63" s="114"/>
      <c r="S63" s="622"/>
      <c r="T63" s="572" t="s">
        <v>14</v>
      </c>
      <c r="U63" s="169" t="s">
        <v>120</v>
      </c>
      <c r="V63" s="179">
        <v>2</v>
      </c>
      <c r="W63" s="509">
        <f t="shared" si="7"/>
        <v>512</v>
      </c>
      <c r="X63" s="290">
        <v>0</v>
      </c>
      <c r="Y63" s="14"/>
      <c r="Z63" s="518">
        <f t="shared" ref="Z63:Z64" si="12">IF(AND(AN45=0,AN57=0,AN51=0),SUM(AC63:AJ63),IF($E$15="N",SUM(AC63:AJ63)-AN63,AM63-AN63+AD63))</f>
        <v>40</v>
      </c>
      <c r="AA63" s="509">
        <f>IF($E$15="N",IF(AND($B$119="S",OR($E$21="Y",$E$22="Y",$E$23="Y")),0,BI63),IF(AND($B$119="S",OR($E$21="Y",$E$22="Y",$E$23="Y")),BB63,BI63))</f>
        <v>815</v>
      </c>
      <c r="AB63" s="519">
        <f t="shared" ref="AB63:AB64" si="13">IF(AND(AO45=0,AO51=0,AO57=0),AP63,AP63-AO63)</f>
        <v>118</v>
      </c>
      <c r="AC63" s="172">
        <v>5</v>
      </c>
      <c r="AD63" s="170">
        <v>14</v>
      </c>
      <c r="AE63" s="170">
        <v>0</v>
      </c>
      <c r="AF63" s="175">
        <v>2</v>
      </c>
      <c r="AG63" s="172">
        <v>1</v>
      </c>
      <c r="AH63" s="170">
        <v>2</v>
      </c>
      <c r="AI63" s="170">
        <v>16</v>
      </c>
      <c r="AJ63" s="170"/>
      <c r="AK63" s="170"/>
      <c r="AL63" s="384"/>
      <c r="AM63" s="527">
        <f t="shared" si="6"/>
        <v>40</v>
      </c>
      <c r="AN63" s="534">
        <f>IF($B$119="S",IF($E$24="Y",AC63+AD63+AF63+AG63,0),0)</f>
        <v>0</v>
      </c>
      <c r="AO63" s="535">
        <f>IF($B$119="S",IF($E$24="Y",AP63-AQ63-AR63-AS63,0),0)</f>
        <v>0</v>
      </c>
      <c r="AP63" s="536">
        <f>SUM(AQ63:AY63)</f>
        <v>118</v>
      </c>
      <c r="AQ63" s="172">
        <v>0</v>
      </c>
      <c r="AR63" s="170">
        <v>0</v>
      </c>
      <c r="AS63" s="170">
        <v>112</v>
      </c>
      <c r="AT63" s="170">
        <v>2</v>
      </c>
      <c r="AU63" s="170"/>
      <c r="AV63" s="170"/>
      <c r="AW63" s="170"/>
      <c r="AX63" s="170">
        <v>4</v>
      </c>
      <c r="AY63" s="384"/>
      <c r="AZ63" s="390">
        <v>120</v>
      </c>
      <c r="BA63" s="170">
        <v>20</v>
      </c>
      <c r="BB63" s="170">
        <v>655</v>
      </c>
      <c r="BC63" s="170">
        <v>0</v>
      </c>
      <c r="BD63" s="170">
        <v>20</v>
      </c>
      <c r="BE63" s="170"/>
      <c r="BF63" s="381"/>
      <c r="BG63" s="536">
        <f t="shared" si="8"/>
        <v>1327</v>
      </c>
      <c r="BH63" s="168">
        <v>512</v>
      </c>
      <c r="BI63" s="547">
        <f t="shared" si="9"/>
        <v>815</v>
      </c>
    </row>
    <row r="64" spans="8:61" ht="17" thickBot="1" x14ac:dyDescent="0.25">
      <c r="I64" s="613"/>
      <c r="J64" s="728"/>
      <c r="K64" s="115" t="s">
        <v>35</v>
      </c>
      <c r="L64" s="275">
        <f>J24</f>
        <v>0</v>
      </c>
      <c r="M64" s="263">
        <f>$L$64*V63</f>
        <v>0</v>
      </c>
      <c r="N64" s="263">
        <f>L64*N63</f>
        <v>0</v>
      </c>
      <c r="O64" s="264">
        <f>$L$64*X63</f>
        <v>0</v>
      </c>
      <c r="P64" s="114"/>
      <c r="S64" s="622"/>
      <c r="T64" s="573"/>
      <c r="U64" s="180" t="s">
        <v>119</v>
      </c>
      <c r="V64" s="92">
        <v>2</v>
      </c>
      <c r="W64" s="507">
        <f t="shared" si="7"/>
        <v>512</v>
      </c>
      <c r="X64" s="254">
        <v>0</v>
      </c>
      <c r="Y64" s="165"/>
      <c r="Z64" s="520">
        <f t="shared" si="12"/>
        <v>57</v>
      </c>
      <c r="AA64" s="507">
        <f>IF($E$15="N",IF(AND($B$119="S",OR($E$21="Y",$E$22="Y",$E$23="Y")),0,BI64),IF(AND($B$119="S",OR($E$21="Y",$E$22="Y",$E$23="Y")),BB64,BI64))</f>
        <v>815</v>
      </c>
      <c r="AB64" s="521">
        <f t="shared" si="13"/>
        <v>118</v>
      </c>
      <c r="AC64" s="119">
        <v>5</v>
      </c>
      <c r="AD64" s="91">
        <v>14</v>
      </c>
      <c r="AE64" s="91">
        <v>0</v>
      </c>
      <c r="AF64" s="176">
        <v>2</v>
      </c>
      <c r="AG64" s="119">
        <v>2</v>
      </c>
      <c r="AH64" s="91">
        <v>2</v>
      </c>
      <c r="AI64" s="91">
        <v>32</v>
      </c>
      <c r="AJ64" s="91"/>
      <c r="AK64" s="91"/>
      <c r="AL64" s="385"/>
      <c r="AM64" s="528">
        <f t="shared" si="6"/>
        <v>57</v>
      </c>
      <c r="AN64" s="537">
        <f>IF($B$119="S",IF($E$24="Y",AC64+AD64+AF64+AG64,0),0)</f>
        <v>0</v>
      </c>
      <c r="AO64" s="538">
        <f>IF($B$119="S",IF($E$24="Y",AP64-AQ64-AR64-AS64,0),0)</f>
        <v>0</v>
      </c>
      <c r="AP64" s="539">
        <f>SUM(AQ64:AY64)</f>
        <v>118</v>
      </c>
      <c r="AQ64" s="119">
        <v>0</v>
      </c>
      <c r="AR64" s="91">
        <v>0</v>
      </c>
      <c r="AS64" s="369">
        <v>112</v>
      </c>
      <c r="AT64" s="369">
        <v>2</v>
      </c>
      <c r="AU64" s="369"/>
      <c r="AV64" s="369"/>
      <c r="AW64" s="369"/>
      <c r="AX64" s="369">
        <v>4</v>
      </c>
      <c r="AY64" s="395"/>
      <c r="AZ64" s="391">
        <v>120</v>
      </c>
      <c r="BA64" s="91">
        <v>20</v>
      </c>
      <c r="BB64" s="91">
        <v>655</v>
      </c>
      <c r="BC64" s="91">
        <v>0</v>
      </c>
      <c r="BD64" s="91">
        <v>20</v>
      </c>
      <c r="BE64" s="91"/>
      <c r="BF64" s="382"/>
      <c r="BG64" s="539">
        <f t="shared" si="8"/>
        <v>1327</v>
      </c>
      <c r="BH64" s="375">
        <v>512</v>
      </c>
      <c r="BI64" s="548">
        <f t="shared" si="9"/>
        <v>815</v>
      </c>
    </row>
    <row r="65" spans="2:61" ht="17" thickBot="1" x14ac:dyDescent="0.25">
      <c r="I65" s="613"/>
      <c r="J65" s="728"/>
      <c r="K65" s="259" t="str">
        <f>D25</f>
        <v>H &amp; P - Utilities</v>
      </c>
      <c r="L65" s="274" t="str">
        <f>K25</f>
        <v>None</v>
      </c>
      <c r="M65" s="260">
        <f>M25</f>
        <v>0</v>
      </c>
      <c r="N65" s="261">
        <f>N25</f>
        <v>0</v>
      </c>
      <c r="O65" s="262">
        <f>O25</f>
        <v>0</v>
      </c>
      <c r="P65" s="114"/>
      <c r="S65" s="622"/>
      <c r="T65" s="574"/>
      <c r="U65" s="119" t="s">
        <v>20</v>
      </c>
      <c r="V65" s="266">
        <v>2</v>
      </c>
      <c r="W65" s="514">
        <f t="shared" si="7"/>
        <v>1024</v>
      </c>
      <c r="X65" s="254">
        <v>0</v>
      </c>
      <c r="Y65" s="165"/>
      <c r="Z65" s="520">
        <f>IF(AND(AN47=0,AN59=0,AN53=0),SUM(AC65:AJ65),IF($E$15="N",SUM(AC65:AJ65)-AN65,AM65-AN65+AD65))</f>
        <v>57</v>
      </c>
      <c r="AA65" s="507">
        <f>IF($E$15="N",IF(AND($B$119="S",OR($E$21="Y",$E$22="Y",$E$23="Y")),0,BI65),IF(AND($B$119="S",OR($E$21="Y",$E$22="Y",$E$23="Y")),BB65,BI65))</f>
        <v>815</v>
      </c>
      <c r="AB65" s="521">
        <f>IF(AND(AO47=0,AO53=0,AO59=0),AP65,AP65-AO65)</f>
        <v>182</v>
      </c>
      <c r="AC65" s="119">
        <v>5</v>
      </c>
      <c r="AD65" s="91">
        <v>14</v>
      </c>
      <c r="AE65" s="91">
        <v>0</v>
      </c>
      <c r="AF65" s="176">
        <v>2</v>
      </c>
      <c r="AG65" s="119">
        <v>2</v>
      </c>
      <c r="AH65" s="91">
        <v>2</v>
      </c>
      <c r="AI65" s="91">
        <v>32</v>
      </c>
      <c r="AJ65" s="91"/>
      <c r="AK65" s="91"/>
      <c r="AL65" s="385"/>
      <c r="AM65" s="528">
        <f t="shared" si="6"/>
        <v>57</v>
      </c>
      <c r="AN65" s="537">
        <f>IF($B$119="S",IF($E$24="Y",AC65+AD65+AF65+AG65,0),0)</f>
        <v>0</v>
      </c>
      <c r="AO65" s="538">
        <f>IF($B$119="S",IF($E$24="Y",AP65-AQ65-AR65-AS65,0),0)</f>
        <v>0</v>
      </c>
      <c r="AP65" s="539">
        <f>SUM(AQ65:AY65)</f>
        <v>182</v>
      </c>
      <c r="AQ65" s="119">
        <v>0</v>
      </c>
      <c r="AR65" s="91">
        <v>0</v>
      </c>
      <c r="AS65" s="369">
        <v>176</v>
      </c>
      <c r="AT65" s="369">
        <v>2</v>
      </c>
      <c r="AU65" s="369"/>
      <c r="AV65" s="369"/>
      <c r="AW65" s="369"/>
      <c r="AX65" s="369">
        <v>4</v>
      </c>
      <c r="AY65" s="395"/>
      <c r="AZ65" s="391">
        <v>120</v>
      </c>
      <c r="BA65" s="91">
        <v>20</v>
      </c>
      <c r="BB65" s="91">
        <v>655</v>
      </c>
      <c r="BC65" s="91">
        <v>0</v>
      </c>
      <c r="BD65" s="91">
        <v>20</v>
      </c>
      <c r="BE65" s="91"/>
      <c r="BF65" s="382"/>
      <c r="BG65" s="539">
        <f t="shared" si="8"/>
        <v>1839</v>
      </c>
      <c r="BH65" s="375">
        <v>1024</v>
      </c>
      <c r="BI65" s="548">
        <f t="shared" si="9"/>
        <v>815</v>
      </c>
    </row>
    <row r="66" spans="2:61" ht="17" thickBot="1" x14ac:dyDescent="0.25">
      <c r="I66" s="613"/>
      <c r="J66" s="728"/>
      <c r="K66" s="115" t="s">
        <v>35</v>
      </c>
      <c r="L66" s="275">
        <f>J25</f>
        <v>0</v>
      </c>
      <c r="M66" s="263">
        <f>$L$66*V87</f>
        <v>0</v>
      </c>
      <c r="N66" s="263">
        <f>$L$66*N65</f>
        <v>0</v>
      </c>
      <c r="O66" s="264">
        <f>$L$66*X87</f>
        <v>0</v>
      </c>
      <c r="P66" s="116"/>
      <c r="S66" s="622"/>
      <c r="T66" s="164" t="s">
        <v>80</v>
      </c>
      <c r="U66" s="119" t="s">
        <v>22</v>
      </c>
      <c r="V66" s="267">
        <v>2</v>
      </c>
      <c r="W66" s="507">
        <f t="shared" si="7"/>
        <v>2048</v>
      </c>
      <c r="X66" s="254">
        <v>0</v>
      </c>
      <c r="Y66" s="165"/>
      <c r="Z66" s="520">
        <f>IF(AND(AN48=0,AN60=0,AN54=0),SUM(AC66:AJ66),IF($E$15="N",SUM(AC66:AJ66)-AN66,AM66-AN66+AD66))</f>
        <v>78</v>
      </c>
      <c r="AA66" s="507">
        <f>IF($E$15="N",IF(AND($B$119="S",OR($E$21="Y",$E$22="Y",$E$23="Y")),0,BI66),IF(AND($B$119="S",OR($E$21="Y",$E$22="Y",$E$23="Y")),BB66,BI66))</f>
        <v>825</v>
      </c>
      <c r="AB66" s="521">
        <f>IF(AND(AO48=0,AO54=0,AO60=0),AP66,AP66-AO66)</f>
        <v>223</v>
      </c>
      <c r="AC66" s="119">
        <v>8</v>
      </c>
      <c r="AD66" s="91">
        <v>28</v>
      </c>
      <c r="AE66" s="91">
        <v>0</v>
      </c>
      <c r="AF66" s="176">
        <v>2</v>
      </c>
      <c r="AG66" s="119">
        <v>2</v>
      </c>
      <c r="AH66" s="91">
        <v>6</v>
      </c>
      <c r="AI66" s="91">
        <v>32</v>
      </c>
      <c r="AJ66" s="91"/>
      <c r="AK66" s="91"/>
      <c r="AL66" s="385"/>
      <c r="AM66" s="528">
        <f t="shared" si="6"/>
        <v>78</v>
      </c>
      <c r="AN66" s="537">
        <f>IF($B$119="S",IF($E$24="Y",AC66+AD66+AF66+AG66,0),0)</f>
        <v>0</v>
      </c>
      <c r="AO66" s="538">
        <f>IF($B$119="S",IF($E$24="Y",AP66-AQ66-AR66-AS66,0),0)</f>
        <v>0</v>
      </c>
      <c r="AP66" s="539">
        <f>SUM(AQ66:AY66)</f>
        <v>223</v>
      </c>
      <c r="AQ66" s="119">
        <v>0</v>
      </c>
      <c r="AR66" s="91">
        <v>0</v>
      </c>
      <c r="AS66" s="369">
        <v>216</v>
      </c>
      <c r="AT66" s="369">
        <v>3</v>
      </c>
      <c r="AU66" s="369"/>
      <c r="AV66" s="369"/>
      <c r="AW66" s="369"/>
      <c r="AX66" s="369">
        <v>4</v>
      </c>
      <c r="AY66" s="395"/>
      <c r="AZ66" s="391">
        <v>120</v>
      </c>
      <c r="BA66" s="91">
        <v>20</v>
      </c>
      <c r="BB66" s="91">
        <v>655</v>
      </c>
      <c r="BC66" s="91">
        <v>0</v>
      </c>
      <c r="BD66" s="91">
        <v>30</v>
      </c>
      <c r="BE66" s="91"/>
      <c r="BF66" s="382"/>
      <c r="BG66" s="539">
        <f t="shared" si="8"/>
        <v>2873</v>
      </c>
      <c r="BH66" s="375">
        <v>2048</v>
      </c>
      <c r="BI66" s="548">
        <f t="shared" si="9"/>
        <v>825</v>
      </c>
    </row>
    <row r="67" spans="2:61" x14ac:dyDescent="0.2">
      <c r="I67" s="613"/>
      <c r="J67" s="728"/>
      <c r="K67" s="120" t="s">
        <v>69</v>
      </c>
      <c r="L67" s="274" t="str">
        <f>K26</f>
        <v>None</v>
      </c>
      <c r="M67" s="260">
        <f>M26</f>
        <v>0</v>
      </c>
      <c r="N67" s="261">
        <f>N26</f>
        <v>0</v>
      </c>
      <c r="O67" s="260">
        <f>O26</f>
        <v>0</v>
      </c>
      <c r="P67" s="268">
        <f>P26</f>
        <v>0</v>
      </c>
      <c r="S67" s="622"/>
      <c r="T67" s="575" t="s">
        <v>121</v>
      </c>
      <c r="U67" s="119" t="s">
        <v>2</v>
      </c>
      <c r="V67" s="98">
        <v>8</v>
      </c>
      <c r="W67" s="514">
        <f t="shared" si="7"/>
        <v>3072</v>
      </c>
      <c r="X67" s="254">
        <v>0</v>
      </c>
      <c r="Y67" s="165"/>
      <c r="Z67" s="520">
        <f>IF(AND(AN49=0,AN61=0,AN55=0),SUM(AC67:AJ67),IF($E$15="N",SUM(AC67:AJ67)-AN67,AM67-AN67+AD67))</f>
        <v>105</v>
      </c>
      <c r="AA67" s="507">
        <f>IF($E$15="N",IF(AND($B$119="S",OR($E$21="Y",$E$22="Y",$E$23="Y")),0,BI67),IF(AND($B$119="S",OR($E$21="Y",$E$22="Y",$E$23="Y")),BB67,BI67))</f>
        <v>835</v>
      </c>
      <c r="AB67" s="521">
        <f>IF(AND(AO49=0,AO55=0,AO61=0),AP67,AP67-AO67)</f>
        <v>373</v>
      </c>
      <c r="AC67" s="119">
        <v>8</v>
      </c>
      <c r="AD67" s="91">
        <v>37</v>
      </c>
      <c r="AE67" s="91">
        <v>0</v>
      </c>
      <c r="AF67" s="176">
        <v>2</v>
      </c>
      <c r="AG67" s="119">
        <v>4</v>
      </c>
      <c r="AH67" s="91">
        <v>6</v>
      </c>
      <c r="AI67" s="91">
        <v>48</v>
      </c>
      <c r="AJ67" s="91"/>
      <c r="AK67" s="91"/>
      <c r="AL67" s="385"/>
      <c r="AM67" s="528">
        <f t="shared" si="6"/>
        <v>105</v>
      </c>
      <c r="AN67" s="537">
        <f>IF($B$119="S",IF($E$24="Y",AC67+AD67+AF67+AG67,0),0)</f>
        <v>0</v>
      </c>
      <c r="AO67" s="538">
        <f>IF($B$119="S",IF($E$24="Y",AP67-AQ67-AR67-AS67,0),0)</f>
        <v>0</v>
      </c>
      <c r="AP67" s="539">
        <f>SUM(AQ67:AY67)</f>
        <v>373</v>
      </c>
      <c r="AQ67" s="119">
        <v>0</v>
      </c>
      <c r="AR67" s="91">
        <v>0</v>
      </c>
      <c r="AS67" s="369">
        <v>270</v>
      </c>
      <c r="AT67" s="369">
        <v>3</v>
      </c>
      <c r="AU67" s="369">
        <v>96</v>
      </c>
      <c r="AV67" s="369"/>
      <c r="AW67" s="369"/>
      <c r="AX67" s="369">
        <v>4</v>
      </c>
      <c r="AY67" s="395"/>
      <c r="AZ67" s="391">
        <v>120</v>
      </c>
      <c r="BA67" s="91">
        <v>20</v>
      </c>
      <c r="BB67" s="91">
        <v>655</v>
      </c>
      <c r="BC67" s="91">
        <v>0</v>
      </c>
      <c r="BD67" s="91">
        <v>40</v>
      </c>
      <c r="BE67" s="91"/>
      <c r="BF67" s="382"/>
      <c r="BG67" s="539">
        <f t="shared" si="8"/>
        <v>3907</v>
      </c>
      <c r="BH67" s="375">
        <f>BH66+BH65</f>
        <v>3072</v>
      </c>
      <c r="BI67" s="548">
        <f t="shared" si="9"/>
        <v>835</v>
      </c>
    </row>
    <row r="68" spans="2:61" ht="17" thickBot="1" x14ac:dyDescent="0.25">
      <c r="I68" s="613"/>
      <c r="J68" s="728"/>
      <c r="K68" s="121" t="s">
        <v>70</v>
      </c>
      <c r="L68" s="275">
        <f>J26</f>
        <v>0</v>
      </c>
      <c r="M68" s="269">
        <f>$L$68*V69</f>
        <v>0</v>
      </c>
      <c r="N68" s="269">
        <f>$L$68*W69</f>
        <v>0</v>
      </c>
      <c r="O68" s="269">
        <f>$L$68*X69</f>
        <v>0</v>
      </c>
      <c r="P68" s="270">
        <f>$L$68*Y69</f>
        <v>0</v>
      </c>
      <c r="S68" s="622"/>
      <c r="T68" s="576"/>
      <c r="U68" s="181" t="s">
        <v>58</v>
      </c>
      <c r="V68" s="283">
        <f>V67+V66</f>
        <v>10</v>
      </c>
      <c r="W68" s="515">
        <f t="shared" si="7"/>
        <v>5120</v>
      </c>
      <c r="X68" s="256">
        <v>2</v>
      </c>
      <c r="Y68" s="165"/>
      <c r="Z68" s="522">
        <f>IF(AND(AN50=0,AN62=0,AN56=0),SUM(AC68:AJ68),IF($E$15="N",SUM(AC68:AJ68)-AN68,AM68-AN68+AD68))</f>
        <v>173</v>
      </c>
      <c r="AA68" s="508">
        <f>IF($E$15="N",IF(AND($B$119="S",OR($E$21="Y",$E$22="Y",$E$23="Y")),0,BI68),IF(AND($B$119="S",OR($E$21="Y",$E$22="Y",$E$23="Y")),BB68,BI68))</f>
        <v>865</v>
      </c>
      <c r="AB68" s="523">
        <f>IF(AND(AO50=0,AO56=0,AO62=0),AP68,AP68-AO68)</f>
        <v>596</v>
      </c>
      <c r="AC68" s="173">
        <v>8</v>
      </c>
      <c r="AD68" s="174">
        <f>AD67+AD66</f>
        <v>65</v>
      </c>
      <c r="AE68" s="257">
        <f>AE67+AE66</f>
        <v>0</v>
      </c>
      <c r="AF68" s="177">
        <v>2</v>
      </c>
      <c r="AG68" s="258">
        <f>AG66+AG67</f>
        <v>6</v>
      </c>
      <c r="AH68" s="257">
        <f>AH67+AH66</f>
        <v>12</v>
      </c>
      <c r="AI68" s="257">
        <f>AI67+AI66</f>
        <v>80</v>
      </c>
      <c r="AJ68" s="174"/>
      <c r="AK68" s="174"/>
      <c r="AL68" s="386"/>
      <c r="AM68" s="529">
        <f t="shared" si="6"/>
        <v>173</v>
      </c>
      <c r="AN68" s="540">
        <f>IF($B$119="S",IF($E$24="Y",AC68+AD68+AF68+AG68,0),0)</f>
        <v>0</v>
      </c>
      <c r="AO68" s="541">
        <f>IF($B$119="S",IF($E$24="Y",AP68-AQ68-AR68-AS68,0),0)</f>
        <v>0</v>
      </c>
      <c r="AP68" s="542">
        <f>AP66+AP67</f>
        <v>596</v>
      </c>
      <c r="AQ68" s="253">
        <f>AQ66+AQ67</f>
        <v>0</v>
      </c>
      <c r="AR68" s="91">
        <v>0</v>
      </c>
      <c r="AS68" s="393">
        <f>AS67+AS66</f>
        <v>486</v>
      </c>
      <c r="AT68" s="394" t="s">
        <v>184</v>
      </c>
      <c r="AU68" s="394"/>
      <c r="AV68" s="394"/>
      <c r="AW68" s="394"/>
      <c r="AX68" s="394"/>
      <c r="AY68" s="396"/>
      <c r="AZ68" s="392">
        <f>AZ67</f>
        <v>120</v>
      </c>
      <c r="BA68" s="174">
        <f>BA67</f>
        <v>20</v>
      </c>
      <c r="BB68" s="174">
        <f>BB67</f>
        <v>655</v>
      </c>
      <c r="BC68" s="174">
        <f>BC67+BC66</f>
        <v>0</v>
      </c>
      <c r="BD68" s="174">
        <f>BD67+BD66</f>
        <v>70</v>
      </c>
      <c r="BE68" s="469"/>
      <c r="BF68" s="456"/>
      <c r="BG68" s="545">
        <f t="shared" si="8"/>
        <v>5985</v>
      </c>
      <c r="BH68" s="376">
        <f>BH67+BH66</f>
        <v>5120</v>
      </c>
      <c r="BI68" s="549">
        <f t="shared" si="9"/>
        <v>865</v>
      </c>
    </row>
    <row r="69" spans="2:61" ht="17" thickBot="1" x14ac:dyDescent="0.25">
      <c r="I69" s="613"/>
      <c r="J69" s="728"/>
      <c r="K69" s="259" t="str">
        <f>D27</f>
        <v>Assist</v>
      </c>
      <c r="L69" s="274" t="str">
        <f>K27</f>
        <v>None</v>
      </c>
      <c r="M69" s="260">
        <f>M27</f>
        <v>0</v>
      </c>
      <c r="N69" s="261">
        <f>N27</f>
        <v>0</v>
      </c>
      <c r="O69" s="262">
        <f>O27</f>
        <v>0</v>
      </c>
      <c r="P69" s="114"/>
      <c r="S69" s="622"/>
      <c r="T69" s="609" t="s">
        <v>46</v>
      </c>
      <c r="U69" s="169" t="s">
        <v>120</v>
      </c>
      <c r="V69" s="179">
        <v>4</v>
      </c>
      <c r="W69" s="509">
        <f t="shared" si="7"/>
        <v>100</v>
      </c>
      <c r="X69" s="291">
        <f>V69*$T$73</f>
        <v>64</v>
      </c>
      <c r="Y69" s="171">
        <v>1</v>
      </c>
      <c r="Z69" s="518">
        <f>IF(AND(AN45=0,AN51=0,AN63=0,AN57=0),SUM(AC69:AJ69),SUM(AC69:AJ69)-AN69)</f>
        <v>8</v>
      </c>
      <c r="AA69" s="509">
        <f>IF(AND($B$119="S",OR($E$21="Y",$E$22="Y",$E$23="Y",$E$24="Y")),0,BI69)</f>
        <v>160</v>
      </c>
      <c r="AB69" s="519">
        <f>IF(AND(AO45=0,AO51=0,AO57=0,AO63=0),AP69,IF(AP69-AO69&lt;0,0,AP69-AO69))</f>
        <v>6</v>
      </c>
      <c r="AC69" s="172">
        <v>5</v>
      </c>
      <c r="AD69" s="170">
        <v>0</v>
      </c>
      <c r="AE69" s="170">
        <v>0</v>
      </c>
      <c r="AF69" s="175">
        <v>2</v>
      </c>
      <c r="AG69" s="172">
        <v>1</v>
      </c>
      <c r="AH69" s="170"/>
      <c r="AI69" s="170"/>
      <c r="AJ69" s="170"/>
      <c r="AK69" s="170"/>
      <c r="AL69" s="384"/>
      <c r="AM69" s="527">
        <f t="shared" si="6"/>
        <v>8</v>
      </c>
      <c r="AN69" s="534">
        <f>IF($B$119="S",IF($E$26="Y",AC69+AD69+AF69+AG69,0),0)</f>
        <v>0</v>
      </c>
      <c r="AO69" s="535">
        <f>IF($B$119="S",IF($E$26="Y",AP69-AQ69-AR69-AS69,0),0)</f>
        <v>0</v>
      </c>
      <c r="AP69" s="536">
        <f>SUM(AQ69:AY69)</f>
        <v>6</v>
      </c>
      <c r="AQ69" s="403">
        <v>0</v>
      </c>
      <c r="AR69" s="404">
        <v>0</v>
      </c>
      <c r="AS69" s="404">
        <v>0</v>
      </c>
      <c r="AT69" s="404">
        <v>2</v>
      </c>
      <c r="AU69" s="404"/>
      <c r="AV69" s="404"/>
      <c r="AW69" s="404"/>
      <c r="AX69" s="404">
        <v>4</v>
      </c>
      <c r="AY69" s="405"/>
      <c r="AZ69" s="390">
        <v>120</v>
      </c>
      <c r="BA69" s="170">
        <v>20</v>
      </c>
      <c r="BB69" s="170">
        <v>0</v>
      </c>
      <c r="BC69" s="170">
        <v>0</v>
      </c>
      <c r="BD69" s="170">
        <v>20</v>
      </c>
      <c r="BE69" s="170"/>
      <c r="BF69" s="381"/>
      <c r="BG69" s="536">
        <f t="shared" si="8"/>
        <v>260</v>
      </c>
      <c r="BH69" s="168">
        <v>100</v>
      </c>
      <c r="BI69" s="547">
        <f t="shared" si="9"/>
        <v>160</v>
      </c>
    </row>
    <row r="70" spans="2:61" ht="19" customHeight="1" thickBot="1" x14ac:dyDescent="0.25">
      <c r="I70" s="613"/>
      <c r="J70" s="728"/>
      <c r="K70" s="480" t="s">
        <v>231</v>
      </c>
      <c r="L70" s="481">
        <f>J27</f>
        <v>0</v>
      </c>
      <c r="M70" s="279">
        <f>$L$70*V75</f>
        <v>0</v>
      </c>
      <c r="N70" s="279">
        <f>$L$70*W75</f>
        <v>0</v>
      </c>
      <c r="O70" s="482">
        <f>$L$70*X75</f>
        <v>0</v>
      </c>
      <c r="P70" s="114"/>
      <c r="S70" s="622"/>
      <c r="T70" s="610"/>
      <c r="U70" s="180" t="s">
        <v>119</v>
      </c>
      <c r="V70" s="92">
        <v>4</v>
      </c>
      <c r="W70" s="507">
        <f t="shared" si="7"/>
        <v>100</v>
      </c>
      <c r="X70" s="292">
        <f>V70*$T$73</f>
        <v>64</v>
      </c>
      <c r="Y70" s="182">
        <v>2</v>
      </c>
      <c r="Z70" s="524">
        <f>IF(AND(AN46=0,AN52=0,AN64=0,AN58=0),SUM(AC70:AJ70),SUM(AC70:AJ70)-AN70)</f>
        <v>9</v>
      </c>
      <c r="AA70" s="507">
        <f>IF(AND($B$119="S",OR($E$21="Y",$E$22="Y",$E$23="Y",$E$24="Y")),0,BI70)</f>
        <v>160</v>
      </c>
      <c r="AB70" s="521">
        <f>IF(AND(AO46=0,AO52=0,AO58=0,AO64=0),AP70,IF(AP70-AO70&lt;0,0,AP70-AO70))</f>
        <v>6</v>
      </c>
      <c r="AC70" s="119">
        <v>5</v>
      </c>
      <c r="AD70" s="91">
        <v>0</v>
      </c>
      <c r="AE70" s="91">
        <v>0</v>
      </c>
      <c r="AF70" s="176">
        <v>2</v>
      </c>
      <c r="AG70" s="119">
        <v>2</v>
      </c>
      <c r="AH70" s="91"/>
      <c r="AI70" s="91"/>
      <c r="AJ70" s="91"/>
      <c r="AK70" s="91"/>
      <c r="AL70" s="385"/>
      <c r="AM70" s="528">
        <f t="shared" si="6"/>
        <v>9</v>
      </c>
      <c r="AN70" s="537">
        <f>IF($B$119="S",IF($E$26="Y",AC70+AD70+AF70+AG70,0),0)</f>
        <v>0</v>
      </c>
      <c r="AO70" s="538">
        <f>IF($B$119="S",IF($E$26="Y",AP70-AQ70-AR70-AS70,0),0)</f>
        <v>0</v>
      </c>
      <c r="AP70" s="539">
        <f>SUM(AQ70:AY70)</f>
        <v>6</v>
      </c>
      <c r="AQ70" s="399">
        <v>0</v>
      </c>
      <c r="AR70" s="400">
        <v>0</v>
      </c>
      <c r="AS70" s="401">
        <v>0</v>
      </c>
      <c r="AT70" s="401">
        <v>2</v>
      </c>
      <c r="AU70" s="401"/>
      <c r="AV70" s="401"/>
      <c r="AW70" s="401"/>
      <c r="AX70" s="401">
        <v>4</v>
      </c>
      <c r="AY70" s="402"/>
      <c r="AZ70" s="391">
        <v>120</v>
      </c>
      <c r="BA70" s="91">
        <v>20</v>
      </c>
      <c r="BB70" s="91">
        <v>0</v>
      </c>
      <c r="BC70" s="91">
        <v>0</v>
      </c>
      <c r="BD70" s="91">
        <v>20</v>
      </c>
      <c r="BE70" s="91"/>
      <c r="BF70" s="382"/>
      <c r="BG70" s="539">
        <f t="shared" si="8"/>
        <v>260</v>
      </c>
      <c r="BH70" s="375">
        <v>100</v>
      </c>
      <c r="BI70" s="548">
        <f t="shared" si="9"/>
        <v>160</v>
      </c>
    </row>
    <row r="71" spans="2:61" ht="18" customHeight="1" thickBot="1" x14ac:dyDescent="0.25">
      <c r="I71" s="613"/>
      <c r="J71" s="728"/>
      <c r="K71" s="259" t="str">
        <f>D28</f>
        <v>Safety</v>
      </c>
      <c r="L71" s="483" t="str">
        <f>K28</f>
        <v>None</v>
      </c>
      <c r="M71" s="485">
        <f>M28</f>
        <v>0</v>
      </c>
      <c r="N71" s="485">
        <f>N28</f>
        <v>0</v>
      </c>
      <c r="O71" s="485">
        <f>O28</f>
        <v>0</v>
      </c>
      <c r="P71" s="114"/>
      <c r="R71"/>
      <c r="S71" s="622"/>
      <c r="T71" s="611"/>
      <c r="U71" s="119" t="s">
        <v>20</v>
      </c>
      <c r="V71" s="97">
        <v>8</v>
      </c>
      <c r="W71" s="514">
        <f t="shared" si="7"/>
        <v>240</v>
      </c>
      <c r="X71" s="292">
        <f>V71*$T$73</f>
        <v>128</v>
      </c>
      <c r="Y71" s="182">
        <v>2</v>
      </c>
      <c r="Z71" s="524">
        <f>IF(AND(AN47=0,AN53=0,AN65=0,AN59=0),SUM(AC71:AJ71),SUM(AC71:AJ71)-AN71)</f>
        <v>9</v>
      </c>
      <c r="AA71" s="507">
        <f>IF(AND($B$119="S",OR($E$21="Y",$E$22="Y",$E$23="Y",$E$24="Y")),0,BI71)</f>
        <v>160</v>
      </c>
      <c r="AB71" s="521">
        <f>IF(AND(AO47=0,AO53=0,AO59=0,AO65=0),AP71,IF(AP71-AO71&lt;0,0,AP71-AO71))</f>
        <v>6</v>
      </c>
      <c r="AC71" s="119">
        <v>5</v>
      </c>
      <c r="AD71" s="91">
        <v>0</v>
      </c>
      <c r="AE71" s="91">
        <v>0</v>
      </c>
      <c r="AF71" s="176">
        <v>2</v>
      </c>
      <c r="AG71" s="119">
        <v>2</v>
      </c>
      <c r="AH71" s="91"/>
      <c r="AI71" s="91"/>
      <c r="AJ71" s="91"/>
      <c r="AK71" s="91"/>
      <c r="AL71" s="385"/>
      <c r="AM71" s="528">
        <f t="shared" si="6"/>
        <v>9</v>
      </c>
      <c r="AN71" s="537">
        <f>IF($B$119="S",IF($E$26="Y",AC71+AD71+AF71+AG71,0),0)</f>
        <v>0</v>
      </c>
      <c r="AO71" s="538">
        <f>IF($B$119="S",IF($E$26="Y",AP71-AQ71-AR71-AS71,0),0)</f>
        <v>0</v>
      </c>
      <c r="AP71" s="539">
        <f>SUM(AQ71:AY71)</f>
        <v>6</v>
      </c>
      <c r="AQ71" s="119">
        <v>0</v>
      </c>
      <c r="AR71" s="91">
        <v>0</v>
      </c>
      <c r="AS71" s="369">
        <v>0</v>
      </c>
      <c r="AT71" s="369">
        <v>2</v>
      </c>
      <c r="AU71" s="369"/>
      <c r="AV71" s="369"/>
      <c r="AW71" s="369"/>
      <c r="AX71" s="369">
        <v>4</v>
      </c>
      <c r="AY71" s="395"/>
      <c r="AZ71" s="391">
        <v>120</v>
      </c>
      <c r="BA71" s="91">
        <v>20</v>
      </c>
      <c r="BB71" s="91">
        <v>0</v>
      </c>
      <c r="BC71" s="91">
        <v>0</v>
      </c>
      <c r="BD71" s="91">
        <v>20</v>
      </c>
      <c r="BE71" s="91"/>
      <c r="BF71" s="382"/>
      <c r="BG71" s="539">
        <f t="shared" si="8"/>
        <v>400</v>
      </c>
      <c r="BH71" s="375">
        <v>240</v>
      </c>
      <c r="BI71" s="548">
        <f t="shared" si="9"/>
        <v>160</v>
      </c>
    </row>
    <row r="72" spans="2:61" ht="22" customHeight="1" thickBot="1" x14ac:dyDescent="0.25">
      <c r="I72" s="613"/>
      <c r="J72" s="728"/>
      <c r="K72" s="751" t="s">
        <v>231</v>
      </c>
      <c r="L72" s="484">
        <f>J28</f>
        <v>0</v>
      </c>
      <c r="M72" s="279">
        <f>$L$72*V81</f>
        <v>0</v>
      </c>
      <c r="N72" s="279">
        <f>$L$72*W81</f>
        <v>0</v>
      </c>
      <c r="O72" s="482">
        <f>$L$72*X81</f>
        <v>0</v>
      </c>
      <c r="P72" s="114"/>
      <c r="R72"/>
      <c r="S72" s="622"/>
      <c r="T72" s="178" t="s">
        <v>80</v>
      </c>
      <c r="U72" s="119" t="s">
        <v>22</v>
      </c>
      <c r="V72" s="102">
        <v>16</v>
      </c>
      <c r="W72" s="507">
        <f t="shared" si="7"/>
        <v>480</v>
      </c>
      <c r="X72" s="292">
        <f>V72*$T$73</f>
        <v>256</v>
      </c>
      <c r="Y72" s="182">
        <v>4</v>
      </c>
      <c r="Z72" s="524">
        <f>IF(AND(AN48=0,AN54=0,AN66=0,AN60=0),SUM(AC72:AJ72),SUM(AC72:AJ72)-AN72)</f>
        <v>12</v>
      </c>
      <c r="AA72" s="507">
        <f>IF(AND($B$119="S",OR($E$21="Y",$E$22="Y",$E$23="Y",$E$24="Y")),0,BI72)</f>
        <v>170</v>
      </c>
      <c r="AB72" s="521">
        <f>IF(AND(AO48=0,AO54=0,AO60=0,AO66=0),AP72,IF(AP72-AO72&lt;0,0,AP72-AO72))</f>
        <v>7</v>
      </c>
      <c r="AC72" s="119">
        <v>8</v>
      </c>
      <c r="AD72" s="91">
        <v>0</v>
      </c>
      <c r="AE72" s="91">
        <v>0</v>
      </c>
      <c r="AF72" s="176">
        <v>2</v>
      </c>
      <c r="AG72" s="119">
        <v>2</v>
      </c>
      <c r="AH72" s="91"/>
      <c r="AI72" s="91"/>
      <c r="AJ72" s="91"/>
      <c r="AK72" s="91"/>
      <c r="AL72" s="385"/>
      <c r="AM72" s="528">
        <f t="shared" si="6"/>
        <v>12</v>
      </c>
      <c r="AN72" s="537">
        <f>IF($B$119="S",IF($E$26="Y",AC72+AD72+AF72+AG72,0),0)</f>
        <v>0</v>
      </c>
      <c r="AO72" s="538">
        <f>IF($B$119="S",IF($E$26="Y",AP72-AQ72-AR72-AS72,0),0)</f>
        <v>0</v>
      </c>
      <c r="AP72" s="539">
        <f>SUM(AQ72:AY72)</f>
        <v>7</v>
      </c>
      <c r="AQ72" s="119">
        <v>0</v>
      </c>
      <c r="AR72" s="91">
        <v>0</v>
      </c>
      <c r="AS72" s="369">
        <v>0</v>
      </c>
      <c r="AT72" s="369">
        <v>3</v>
      </c>
      <c r="AU72" s="369"/>
      <c r="AV72" s="369"/>
      <c r="AW72" s="369"/>
      <c r="AX72" s="369">
        <v>4</v>
      </c>
      <c r="AY72" s="395"/>
      <c r="AZ72" s="391">
        <v>120</v>
      </c>
      <c r="BA72" s="91">
        <v>20</v>
      </c>
      <c r="BB72" s="91">
        <v>0</v>
      </c>
      <c r="BC72" s="91">
        <v>0</v>
      </c>
      <c r="BD72" s="91">
        <v>30</v>
      </c>
      <c r="BE72" s="91"/>
      <c r="BF72" s="382"/>
      <c r="BG72" s="539">
        <f t="shared" si="8"/>
        <v>650</v>
      </c>
      <c r="BH72" s="375">
        <v>480</v>
      </c>
      <c r="BI72" s="548">
        <f t="shared" si="9"/>
        <v>170</v>
      </c>
    </row>
    <row r="73" spans="2:61" ht="23" customHeight="1" thickBot="1" x14ac:dyDescent="0.25">
      <c r="I73" s="613"/>
      <c r="J73" s="728"/>
      <c r="K73" s="117" t="s">
        <v>125</v>
      </c>
      <c r="L73" s="118"/>
      <c r="M73" s="271">
        <f>SUM(M57:M72)</f>
        <v>0</v>
      </c>
      <c r="N73" s="272">
        <f>SUM(N57:N72)</f>
        <v>0</v>
      </c>
      <c r="O73" s="272">
        <f>SUM(O57:O72)</f>
        <v>0</v>
      </c>
      <c r="P73" s="273">
        <f>P67+P68</f>
        <v>0</v>
      </c>
      <c r="R73"/>
      <c r="S73" s="622"/>
      <c r="T73" s="666">
        <v>16</v>
      </c>
      <c r="U73" s="119" t="s">
        <v>2</v>
      </c>
      <c r="V73" s="98">
        <v>24</v>
      </c>
      <c r="W73" s="514">
        <f t="shared" si="7"/>
        <v>960</v>
      </c>
      <c r="X73" s="292">
        <v>512</v>
      </c>
      <c r="Y73" s="182">
        <v>8</v>
      </c>
      <c r="Z73" s="524">
        <f>IF(AND(AN49=0,AN55=0,AN67=0,AN61=0),SUM(AC73:AJ73),SUM(AC73:AJ73)-AN73)</f>
        <v>14</v>
      </c>
      <c r="AA73" s="507">
        <f>IF(AND($B$119="S",OR($E$21="Y",$E$22="Y",$E$23="Y",$E$24="Y")),0,BI73)</f>
        <v>180</v>
      </c>
      <c r="AB73" s="521">
        <f>IF(AND(AO49=0,AO55=0,AO61=0,AO67=0),AP73,IF(AP73-AO73&lt;0,0,AP73-AO73))</f>
        <v>103</v>
      </c>
      <c r="AC73" s="119">
        <v>8</v>
      </c>
      <c r="AD73" s="91">
        <v>0</v>
      </c>
      <c r="AE73" s="91">
        <v>0</v>
      </c>
      <c r="AF73" s="176">
        <v>2</v>
      </c>
      <c r="AG73" s="119">
        <v>4</v>
      </c>
      <c r="AH73" s="91"/>
      <c r="AI73" s="91"/>
      <c r="AJ73" s="91"/>
      <c r="AK73" s="91"/>
      <c r="AL73" s="385"/>
      <c r="AM73" s="528">
        <f t="shared" si="6"/>
        <v>14</v>
      </c>
      <c r="AN73" s="537">
        <f>IF($B$119="S",IF($E$26="Y",AC73+AD73+AF73+AG73,0),0)</f>
        <v>0</v>
      </c>
      <c r="AO73" s="538">
        <f>IF($B$119="S",IF($E$26="Y",AP73-AQ73-AR73-AS73,0),0)</f>
        <v>0</v>
      </c>
      <c r="AP73" s="539">
        <f>SUM(AQ73:AY73)</f>
        <v>103</v>
      </c>
      <c r="AQ73" s="119">
        <v>0</v>
      </c>
      <c r="AR73" s="91">
        <v>0</v>
      </c>
      <c r="AS73" s="369">
        <v>0</v>
      </c>
      <c r="AT73" s="369">
        <v>3</v>
      </c>
      <c r="AU73" s="369">
        <v>96</v>
      </c>
      <c r="AV73" s="369"/>
      <c r="AW73" s="369"/>
      <c r="AX73" s="369">
        <v>4</v>
      </c>
      <c r="AY73" s="395"/>
      <c r="AZ73" s="391">
        <v>120</v>
      </c>
      <c r="BA73" s="91">
        <v>20</v>
      </c>
      <c r="BB73" s="91">
        <v>0</v>
      </c>
      <c r="BC73" s="91">
        <v>0</v>
      </c>
      <c r="BD73" s="91">
        <v>40</v>
      </c>
      <c r="BE73" s="91"/>
      <c r="BF73" s="382"/>
      <c r="BG73" s="539">
        <f t="shared" si="8"/>
        <v>1140</v>
      </c>
      <c r="BH73" s="375">
        <v>960</v>
      </c>
      <c r="BI73" s="548">
        <f t="shared" si="9"/>
        <v>180</v>
      </c>
    </row>
    <row r="74" spans="2:61" ht="22" customHeight="1" thickBot="1" x14ac:dyDescent="0.25">
      <c r="I74" s="613"/>
      <c r="J74" s="728"/>
      <c r="K74" s="113" t="s">
        <v>114</v>
      </c>
      <c r="L74" s="153"/>
      <c r="M74" s="276">
        <f>M42</f>
        <v>0</v>
      </c>
      <c r="N74" s="277">
        <f>N42</f>
        <v>0</v>
      </c>
      <c r="O74" s="278">
        <f>O42</f>
        <v>0</v>
      </c>
      <c r="P74" s="186"/>
      <c r="R74"/>
      <c r="S74" s="623"/>
      <c r="T74" s="667"/>
      <c r="U74" s="125" t="s">
        <v>58</v>
      </c>
      <c r="V74" s="255">
        <f>V73+V72</f>
        <v>40</v>
      </c>
      <c r="W74" s="513">
        <f t="shared" si="7"/>
        <v>1440</v>
      </c>
      <c r="X74" s="293">
        <f>V74*$T$73</f>
        <v>640</v>
      </c>
      <c r="Y74" s="183">
        <v>16</v>
      </c>
      <c r="Z74" s="525">
        <f>IF(AND(AN50=0,AN56=0,AN68=0,AN62=0),SUM(AC74:AJ74),SUM(AC74:AJ74)-AN74)</f>
        <v>16</v>
      </c>
      <c r="AA74" s="508">
        <f>IF(AND($B$119="S",OR($E$21="Y",$E$22="Y",$E$23="Y",$E$24="Y")),0,BI74)</f>
        <v>210</v>
      </c>
      <c r="AB74" s="523">
        <f>IF(AND(AO50=0,AO56=0,AO62=0,AO68=0),AP74,IF(AP74-AO74&lt;0,0,AP74-AO74))</f>
        <v>110</v>
      </c>
      <c r="AC74" s="173">
        <v>8</v>
      </c>
      <c r="AD74" s="174">
        <v>0</v>
      </c>
      <c r="AE74" s="257">
        <f>AE73+AE72</f>
        <v>0</v>
      </c>
      <c r="AF74" s="177">
        <v>2</v>
      </c>
      <c r="AG74" s="173">
        <v>6</v>
      </c>
      <c r="AH74" s="174"/>
      <c r="AI74" s="174"/>
      <c r="AJ74" s="174"/>
      <c r="AK74" s="174"/>
      <c r="AL74" s="386"/>
      <c r="AM74" s="529">
        <f t="shared" si="6"/>
        <v>16</v>
      </c>
      <c r="AN74" s="540">
        <f>IF($B$119="S",IF($E$26="Y",AC74+AD74+AF74+AG74,0),0)</f>
        <v>0</v>
      </c>
      <c r="AO74" s="541">
        <f>IF($B$119="S",IF($E$26="Y",AP74-AQ74-AR74-AS74,0),0)</f>
        <v>0</v>
      </c>
      <c r="AP74" s="542">
        <f>AP72+AP73</f>
        <v>110</v>
      </c>
      <c r="AQ74" s="258">
        <f>AQ72+AQ73</f>
        <v>0</v>
      </c>
      <c r="AR74" s="174">
        <v>0</v>
      </c>
      <c r="AS74" s="397">
        <v>0</v>
      </c>
      <c r="AT74" s="371" t="s">
        <v>184</v>
      </c>
      <c r="AU74" s="371"/>
      <c r="AV74" s="371"/>
      <c r="AW74" s="371"/>
      <c r="AX74" s="371"/>
      <c r="AY74" s="398"/>
      <c r="AZ74" s="392">
        <f>AZ73</f>
        <v>120</v>
      </c>
      <c r="BA74" s="174">
        <f>BA73</f>
        <v>20</v>
      </c>
      <c r="BB74" s="174">
        <v>0</v>
      </c>
      <c r="BC74" s="174">
        <f>BC73+BC72</f>
        <v>0</v>
      </c>
      <c r="BD74" s="174">
        <f>BD73+BD72</f>
        <v>70</v>
      </c>
      <c r="BE74" s="174"/>
      <c r="BF74" s="383"/>
      <c r="BG74" s="546">
        <f t="shared" si="8"/>
        <v>1650</v>
      </c>
      <c r="BH74" s="376">
        <f>BH73+BH72</f>
        <v>1440</v>
      </c>
      <c r="BI74" s="549">
        <f t="shared" si="9"/>
        <v>210</v>
      </c>
    </row>
    <row r="75" spans="2:61" ht="20" customHeight="1" thickBot="1" x14ac:dyDescent="0.25">
      <c r="I75" s="613"/>
      <c r="J75" s="728"/>
      <c r="K75" s="122" t="s">
        <v>115</v>
      </c>
      <c r="L75" s="188"/>
      <c r="M75" s="279">
        <f>IF($L$58&gt;0,Z45,0)+IF($L$60&gt;0,Z51,0)+IF($L$62&gt;0,Z57,0)+IF($L$64&gt;0,Z63,0)+IF($L$66&gt;0,Z87,0)+IF($L$68&gt;0,Z69,0)+IF($L$70&gt;0,Z75,0)+IF($L$72&gt;0,Z81,0)</f>
        <v>0</v>
      </c>
      <c r="N75" s="279">
        <f>IF($L$58&gt;0,AA45,0)+IF($L$60&gt;0,AA51,0)+IF($L$62&gt;0,AA57,0)+IF($L$64&gt;0,AA63,0)+IF($L$66&gt;0,AA87,0)+IF($L$68&gt;0,AA69,0)+IF($L$70&gt;0,AA75,0)+IF($L$72&gt;0,AA81,0)</f>
        <v>0</v>
      </c>
      <c r="O75" s="280">
        <f>IF($L$58&gt;0,AB45,0)+IF($L$60&gt;0,AB51,0)+IF($L$62&gt;0,AB57,0)+IF($L$64&gt;0,AB63,0)+IF($L$66&gt;0,AB87,0)+IF($L$68&gt;0,AB69,0)+IF($L$70&gt;0,AB75,0)+IF($L$72&gt;0,AB81,0)</f>
        <v>0</v>
      </c>
      <c r="P75" s="187"/>
      <c r="R75"/>
      <c r="T75" s="572" t="s">
        <v>222</v>
      </c>
      <c r="U75" s="169" t="s">
        <v>120</v>
      </c>
      <c r="V75" s="179">
        <v>6</v>
      </c>
      <c r="W75" s="509">
        <f t="shared" ref="W75:W80" si="14">IF($E$15="N",BE75+BH75,BH75)</f>
        <v>400</v>
      </c>
      <c r="X75" s="290">
        <v>6</v>
      </c>
      <c r="Y75" s="14"/>
      <c r="Z75" s="518">
        <f>IF(AND(AN45=0,AN51=0,AN57=0,AN69=0,AN63=0),SUM(AC75:AL75),SUM(AC75:AL75)-AN75)</f>
        <v>52</v>
      </c>
      <c r="AA75" s="509">
        <f>IF(AND($B$119="S",OR($E$21="Y",$E$22="Y",$E$23="Y",$E$24="Y",$E$26="Y")),0,BI75)</f>
        <v>815</v>
      </c>
      <c r="AB75" s="519">
        <f>IF(AND(AO45=0,AO51=0,AO57=0,AO63=0,AO69=0),AP75,IF(AP75-AO75&lt;0,0,AP75-AO75))</f>
        <v>108</v>
      </c>
      <c r="AC75" s="172">
        <v>5</v>
      </c>
      <c r="AD75" s="170">
        <v>14</v>
      </c>
      <c r="AE75" s="170">
        <v>0</v>
      </c>
      <c r="AF75" s="175">
        <v>2</v>
      </c>
      <c r="AG75" s="172">
        <v>1</v>
      </c>
      <c r="AH75" s="170"/>
      <c r="AI75" s="170"/>
      <c r="AJ75" s="170"/>
      <c r="AK75" s="170">
        <v>3</v>
      </c>
      <c r="AL75" s="384">
        <v>27</v>
      </c>
      <c r="AM75" s="527">
        <f>SUM(AC75:AL75)</f>
        <v>52</v>
      </c>
      <c r="AN75" s="534">
        <f>IF($B$119="S",IF($E$27="Y",AC75+AD75+AF75+AG75,0),0)</f>
        <v>0</v>
      </c>
      <c r="AO75" s="535">
        <f>IF($B$119="S",IF($E$27="Y",AP75-AQ75-AR75-AS75,0),0)</f>
        <v>0</v>
      </c>
      <c r="AP75" s="536">
        <f>SUM(AQ75:AY75)</f>
        <v>108</v>
      </c>
      <c r="AQ75" s="172"/>
      <c r="AR75" s="170"/>
      <c r="AS75" s="170"/>
      <c r="AT75" s="170">
        <v>2</v>
      </c>
      <c r="AU75" s="170"/>
      <c r="AV75" s="170">
        <v>6</v>
      </c>
      <c r="AW75" s="170">
        <v>96</v>
      </c>
      <c r="AX75" s="170">
        <v>4</v>
      </c>
      <c r="AY75" s="384"/>
      <c r="AZ75" s="390">
        <v>120</v>
      </c>
      <c r="BA75" s="170">
        <v>20</v>
      </c>
      <c r="BB75" s="170">
        <v>655</v>
      </c>
      <c r="BC75" s="170">
        <v>0</v>
      </c>
      <c r="BD75" s="170">
        <v>20</v>
      </c>
      <c r="BE75" s="170">
        <v>300</v>
      </c>
      <c r="BF75" s="381">
        <v>650</v>
      </c>
      <c r="BG75" s="536">
        <f t="shared" si="8"/>
        <v>1865</v>
      </c>
      <c r="BH75" s="168">
        <v>100</v>
      </c>
      <c r="BI75" s="547">
        <f t="shared" si="9"/>
        <v>815</v>
      </c>
    </row>
    <row r="76" spans="2:61" ht="19" customHeight="1" thickBot="1" x14ac:dyDescent="0.25">
      <c r="I76" s="613"/>
      <c r="J76" s="728"/>
      <c r="K76" s="490" t="s">
        <v>116</v>
      </c>
      <c r="L76" s="491"/>
      <c r="M76" s="492">
        <f>ROUND(M75+M74,0)</f>
        <v>0</v>
      </c>
      <c r="N76" s="493">
        <f>ROUND(N75+N74,0)</f>
        <v>0</v>
      </c>
      <c r="O76" s="273">
        <f>ROUND(O75+O74,0)</f>
        <v>0</v>
      </c>
      <c r="P76" s="187"/>
      <c r="R76" s="166"/>
      <c r="T76" s="573"/>
      <c r="U76" s="180" t="s">
        <v>119</v>
      </c>
      <c r="V76" s="92">
        <v>6</v>
      </c>
      <c r="W76" s="507">
        <f t="shared" si="14"/>
        <v>400</v>
      </c>
      <c r="X76" s="254">
        <v>6</v>
      </c>
      <c r="Y76" s="165"/>
      <c r="Z76" s="520">
        <f>IF(AND(AN46=0,AN52=0,AN58=0,AN70=0,AN64=0),SUM(AC76:AL76),SUM(AC76:AL76)-AN76)</f>
        <v>53</v>
      </c>
      <c r="AA76" s="507">
        <f>IF(AND($B$119="S",OR($E$21="Y",$E$22="Y",$E$23="Y",$E$24="Y",$E$26="Y")),0,BI76)</f>
        <v>815</v>
      </c>
      <c r="AB76" s="521">
        <f>IF(AND(AO46=0,AO52=0,AO58=0,AO64=0,AO70=0),AP76,IF(AP76-AO76&lt;0,0,AP76-AO76))</f>
        <v>108</v>
      </c>
      <c r="AC76" s="119">
        <v>5</v>
      </c>
      <c r="AD76" s="91">
        <v>14</v>
      </c>
      <c r="AE76" s="91">
        <v>0</v>
      </c>
      <c r="AF76" s="176">
        <v>2</v>
      </c>
      <c r="AG76" s="119">
        <v>2</v>
      </c>
      <c r="AH76" s="91"/>
      <c r="AI76" s="91"/>
      <c r="AJ76" s="91"/>
      <c r="AK76" s="91">
        <v>3</v>
      </c>
      <c r="AL76" s="385">
        <v>27</v>
      </c>
      <c r="AM76" s="528">
        <f t="shared" ref="AM76:AM86" si="15">SUM(AC76:AL76)</f>
        <v>53</v>
      </c>
      <c r="AN76" s="537">
        <f>IF($B$119="S",IF($E$27="Y",AC76+AD76+AF76+AG76,0),0)</f>
        <v>0</v>
      </c>
      <c r="AO76" s="538">
        <f>IF($B$119="S",IF($E$27="Y",AP76-AQ76-AR76-AS76,0),0)</f>
        <v>0</v>
      </c>
      <c r="AP76" s="539">
        <f>SUM(AQ76:AY76)</f>
        <v>108</v>
      </c>
      <c r="AQ76" s="119">
        <v>0</v>
      </c>
      <c r="AR76" s="91"/>
      <c r="AS76" s="369"/>
      <c r="AT76" s="369">
        <v>2</v>
      </c>
      <c r="AU76" s="369"/>
      <c r="AV76" s="369">
        <v>6</v>
      </c>
      <c r="AW76" s="369">
        <v>96</v>
      </c>
      <c r="AX76" s="369">
        <v>4</v>
      </c>
      <c r="AY76" s="395"/>
      <c r="AZ76" s="391">
        <v>120</v>
      </c>
      <c r="BA76" s="91">
        <v>20</v>
      </c>
      <c r="BB76" s="91">
        <v>655</v>
      </c>
      <c r="BC76" s="91">
        <v>0</v>
      </c>
      <c r="BD76" s="91">
        <v>20</v>
      </c>
      <c r="BE76" s="91">
        <v>300</v>
      </c>
      <c r="BF76" s="382">
        <v>650</v>
      </c>
      <c r="BG76" s="539">
        <f t="shared" si="8"/>
        <v>1865</v>
      </c>
      <c r="BH76" s="375">
        <v>100</v>
      </c>
      <c r="BI76" s="548">
        <f t="shared" si="9"/>
        <v>815</v>
      </c>
    </row>
    <row r="77" spans="2:61" ht="16" customHeight="1" thickBot="1" x14ac:dyDescent="0.25">
      <c r="I77" s="613"/>
      <c r="J77" s="728"/>
      <c r="K77" s="496"/>
      <c r="L77" s="423"/>
      <c r="M77" s="497"/>
      <c r="N77" s="497"/>
      <c r="O77" s="497"/>
      <c r="P77" s="498"/>
      <c r="R77" s="167"/>
      <c r="T77" s="574"/>
      <c r="U77" s="119" t="s">
        <v>20</v>
      </c>
      <c r="V77" s="266">
        <v>12</v>
      </c>
      <c r="W77" s="514">
        <f t="shared" si="14"/>
        <v>400</v>
      </c>
      <c r="X77" s="254">
        <v>12</v>
      </c>
      <c r="Y77" s="165"/>
      <c r="Z77" s="520">
        <f>IF(AND(AN47=0,AN53=0,AN59=0,AN71=0,AN65=0),SUM(AC77:AL77),SUM(AC77:AL77)-AN77)</f>
        <v>53</v>
      </c>
      <c r="AA77" s="507">
        <f>IF(AND($B$119="S",OR($E$21="Y",$E$22="Y",$E$23="Y",$E$24="Y",$E$26="Y")),0,BI77)</f>
        <v>815</v>
      </c>
      <c r="AB77" s="521">
        <f>IF(AND(AO47=0,AO53=0,AO59=0,AO65=0,AO71=0),AP77,IF(AP77-AO77&lt;0,0,AP77-AO77))</f>
        <v>162</v>
      </c>
      <c r="AC77" s="119">
        <v>5</v>
      </c>
      <c r="AD77" s="91">
        <v>14</v>
      </c>
      <c r="AE77" s="91">
        <v>0</v>
      </c>
      <c r="AF77" s="176">
        <v>2</v>
      </c>
      <c r="AG77" s="119">
        <v>2</v>
      </c>
      <c r="AH77" s="91"/>
      <c r="AI77" s="91"/>
      <c r="AJ77" s="91"/>
      <c r="AK77" s="91">
        <v>3</v>
      </c>
      <c r="AL77" s="385">
        <v>27</v>
      </c>
      <c r="AM77" s="528">
        <f t="shared" si="15"/>
        <v>53</v>
      </c>
      <c r="AN77" s="537">
        <f>IF($B$119="S",IF($E$27="Y",AC77+AD77+AF77+AG77,0),0)</f>
        <v>0</v>
      </c>
      <c r="AO77" s="538">
        <f>IF($B$119="S",IF($E$27="Y",AP77-AQ77-AR77-AS77,0),0)</f>
        <v>0</v>
      </c>
      <c r="AP77" s="539">
        <f>SUM(AQ77:AY77)</f>
        <v>162</v>
      </c>
      <c r="AQ77" s="119">
        <v>0</v>
      </c>
      <c r="AR77" s="91"/>
      <c r="AS77" s="369"/>
      <c r="AT77" s="369">
        <v>2</v>
      </c>
      <c r="AU77" s="369"/>
      <c r="AV77" s="369">
        <v>6</v>
      </c>
      <c r="AW77" s="369">
        <v>150</v>
      </c>
      <c r="AX77" s="369">
        <v>4</v>
      </c>
      <c r="AY77" s="395"/>
      <c r="AZ77" s="391">
        <v>120</v>
      </c>
      <c r="BA77" s="91">
        <v>20</v>
      </c>
      <c r="BB77" s="91">
        <v>655</v>
      </c>
      <c r="BC77" s="91">
        <v>0</v>
      </c>
      <c r="BD77" s="91">
        <v>20</v>
      </c>
      <c r="BE77" s="91">
        <v>300</v>
      </c>
      <c r="BF77" s="382">
        <v>890</v>
      </c>
      <c r="BG77" s="539">
        <f t="shared" si="8"/>
        <v>2105</v>
      </c>
      <c r="BH77" s="375">
        <v>100</v>
      </c>
      <c r="BI77" s="548">
        <f t="shared" si="9"/>
        <v>815</v>
      </c>
    </row>
    <row r="78" spans="2:61" ht="20" customHeight="1" thickBot="1" x14ac:dyDescent="0.25">
      <c r="I78" s="613"/>
      <c r="J78" s="728"/>
      <c r="K78" s="494" t="str">
        <f>IF(E16="One for All","Shared Dev Environment Totals","")</f>
        <v/>
      </c>
      <c r="L78" s="495"/>
      <c r="M78" s="499">
        <f>IF($E$16="One for All",IF(E21="Y",Z45+V45,0)+IF(E22="Y",Z51+V51,0)+IF(E23="Y",Z57+V57,0)+IF(E24="Y",Z63+V63,0)+IF(E26="Y",Z69+V69,0)+IF(E27="Y",Z75+V75,0)+IF(E28="Y",Z81+V81,0),0)</f>
        <v>0</v>
      </c>
      <c r="N78" s="499">
        <f>IF($E$16="One for All",MAX(N57,N59,N61,N63,N67,N69,N71),0)</f>
        <v>0</v>
      </c>
      <c r="O78" s="499">
        <f>IF($E$16="One for All",IF(E21="Y",AB45+X45,0)+IF(E22="Y",AB51+X51,0)+IF(E23="Y",AB57+X57,0)+IF(E24="Y",AB63+X63,0)+IF(E26="Y",AB69+X69,0)+IF(E27="Y",AB75+X75,0)+IF(E28="Y",AB81+X81,0),0)</f>
        <v>0</v>
      </c>
      <c r="P78" s="500">
        <f>IF($E$16="One for All",IF(E26="Y",Y69,0),0)</f>
        <v>0</v>
      </c>
      <c r="R78" s="167"/>
      <c r="T78" s="164" t="s">
        <v>80</v>
      </c>
      <c r="U78" s="119" t="s">
        <v>22</v>
      </c>
      <c r="V78" s="267">
        <v>18</v>
      </c>
      <c r="W78" s="507">
        <f t="shared" si="14"/>
        <v>650</v>
      </c>
      <c r="X78" s="254">
        <v>18</v>
      </c>
      <c r="Y78" s="165"/>
      <c r="Z78" s="520">
        <f>IF(AND(AN48=0,AN54=0,AN60=0,AN72=0,AN66=0),SUM(AC78:AL78),SUM(AC78:AL78)-AN78)</f>
        <v>72</v>
      </c>
      <c r="AA78" s="507">
        <f>IF(AND($B$119="S",OR($E$21="Y",$E$22="Y",$E$23="Y",$E$24="Y",$E$26="Y")),0,BI78)</f>
        <v>825</v>
      </c>
      <c r="AB78" s="521">
        <f>IF(AND(AO48=0,AO54=0,AO60=0,AO66=0,AO72=0),AP78,IF(AP78-AO78&lt;0,0,AP78-AO78))</f>
        <v>167</v>
      </c>
      <c r="AC78" s="119">
        <v>8</v>
      </c>
      <c r="AD78" s="91">
        <v>28</v>
      </c>
      <c r="AE78" s="91">
        <v>0</v>
      </c>
      <c r="AF78" s="176">
        <v>2</v>
      </c>
      <c r="AG78" s="119">
        <v>2</v>
      </c>
      <c r="AH78" s="91"/>
      <c r="AI78" s="91"/>
      <c r="AJ78" s="91"/>
      <c r="AK78" s="91">
        <v>5</v>
      </c>
      <c r="AL78" s="385">
        <v>27</v>
      </c>
      <c r="AM78" s="528">
        <f t="shared" si="15"/>
        <v>72</v>
      </c>
      <c r="AN78" s="537">
        <f>IF($B$119="S",IF($E$27="Y",AC78+AD78+AF78+AG78,0),0)</f>
        <v>0</v>
      </c>
      <c r="AO78" s="538">
        <f>IF($B$119="S",IF($E$27="Y",AP78-AQ78-AR78-AS78,0),0)</f>
        <v>0</v>
      </c>
      <c r="AP78" s="539">
        <f>SUM(AQ78:AY78)</f>
        <v>167</v>
      </c>
      <c r="AQ78" s="119">
        <v>0</v>
      </c>
      <c r="AR78" s="91"/>
      <c r="AS78" s="369"/>
      <c r="AT78" s="369">
        <v>3</v>
      </c>
      <c r="AU78" s="369"/>
      <c r="AV78" s="369">
        <v>10</v>
      </c>
      <c r="AW78" s="369">
        <v>150</v>
      </c>
      <c r="AX78" s="369">
        <v>4</v>
      </c>
      <c r="AY78" s="395"/>
      <c r="AZ78" s="391">
        <v>120</v>
      </c>
      <c r="BA78" s="91">
        <v>20</v>
      </c>
      <c r="BB78" s="91">
        <v>655</v>
      </c>
      <c r="BC78" s="91">
        <v>0</v>
      </c>
      <c r="BD78" s="91">
        <v>30</v>
      </c>
      <c r="BE78" s="91">
        <v>500</v>
      </c>
      <c r="BF78" s="382">
        <v>890</v>
      </c>
      <c r="BG78" s="539">
        <f t="shared" si="8"/>
        <v>2365</v>
      </c>
      <c r="BH78" s="375">
        <v>150</v>
      </c>
      <c r="BI78" s="548">
        <f t="shared" si="9"/>
        <v>825</v>
      </c>
    </row>
    <row r="79" spans="2:61" ht="17" thickBot="1" x14ac:dyDescent="0.25">
      <c r="B79" s="2" t="s">
        <v>36</v>
      </c>
      <c r="I79" s="613"/>
      <c r="J79" s="729"/>
      <c r="K79" s="123" t="s">
        <v>41</v>
      </c>
      <c r="L79" s="124"/>
      <c r="M79" s="281">
        <f>M73+M76+M78</f>
        <v>0</v>
      </c>
      <c r="N79" s="281">
        <f>N73+N76+N78</f>
        <v>0</v>
      </c>
      <c r="O79" s="281">
        <f>O73+O76+O78</f>
        <v>0</v>
      </c>
      <c r="P79" s="282">
        <f>P73+P76+P78</f>
        <v>0</v>
      </c>
      <c r="T79" s="575" t="s">
        <v>121</v>
      </c>
      <c r="U79" s="119" t="s">
        <v>2</v>
      </c>
      <c r="V79" s="98">
        <v>36</v>
      </c>
      <c r="W79" s="514">
        <f t="shared" si="14"/>
        <v>1150</v>
      </c>
      <c r="X79" s="254">
        <v>36</v>
      </c>
      <c r="Y79" s="165"/>
      <c r="Z79" s="520">
        <f>IF(AND(AN49=0,AN55=0,AN61=0,AN73=0,AN67=0),SUM(AC79:AL79),SUM(AC79:AL79)-AN79)</f>
        <v>135</v>
      </c>
      <c r="AA79" s="507">
        <f>IF(AND($B$119="S",OR($E$21="Y",$E$22="Y",$E$23="Y",$E$24="Y",$E$26="Y")),0,BI79)</f>
        <v>835</v>
      </c>
      <c r="AB79" s="521">
        <f>IF(AND(AO49=0,AO55=0,AO61=0,AO67=0,AO73=0),AP79,IF(AP79-AO79&lt;0,0,AP79-AO79))</f>
        <v>323</v>
      </c>
      <c r="AC79" s="119">
        <v>8</v>
      </c>
      <c r="AD79" s="91">
        <v>37</v>
      </c>
      <c r="AE79" s="91">
        <v>0</v>
      </c>
      <c r="AF79" s="176">
        <v>2</v>
      </c>
      <c r="AG79" s="119">
        <v>4</v>
      </c>
      <c r="AH79" s="91"/>
      <c r="AI79" s="91"/>
      <c r="AJ79" s="91"/>
      <c r="AK79" s="91">
        <v>10</v>
      </c>
      <c r="AL79" s="385">
        <v>74</v>
      </c>
      <c r="AM79" s="528">
        <f t="shared" si="15"/>
        <v>135</v>
      </c>
      <c r="AN79" s="537">
        <f>IF($B$119="S",IF($E$27="Y",AC79+AD79+AF79+AG79,0),0)</f>
        <v>0</v>
      </c>
      <c r="AO79" s="538">
        <f>IF($B$119="S",IF($E$27="Y",AP79-AQ79-AR79-AS79,0),0)</f>
        <v>0</v>
      </c>
      <c r="AP79" s="539">
        <f>SUM(AQ79:AY79)</f>
        <v>323</v>
      </c>
      <c r="AQ79" s="119">
        <v>0</v>
      </c>
      <c r="AR79" s="91"/>
      <c r="AS79" s="369"/>
      <c r="AT79" s="369">
        <v>3</v>
      </c>
      <c r="AU79" s="369">
        <v>96</v>
      </c>
      <c r="AV79" s="369">
        <v>20</v>
      </c>
      <c r="AW79" s="369">
        <v>200</v>
      </c>
      <c r="AX79" s="369">
        <v>4</v>
      </c>
      <c r="AY79" s="395"/>
      <c r="AZ79" s="391">
        <v>120</v>
      </c>
      <c r="BA79" s="91">
        <v>20</v>
      </c>
      <c r="BB79" s="91">
        <v>655</v>
      </c>
      <c r="BC79" s="91">
        <v>0</v>
      </c>
      <c r="BD79" s="91">
        <v>40</v>
      </c>
      <c r="BE79" s="91">
        <v>1000</v>
      </c>
      <c r="BF79" s="382">
        <v>1890</v>
      </c>
      <c r="BG79" s="539">
        <f t="shared" si="8"/>
        <v>3875</v>
      </c>
      <c r="BH79" s="375">
        <v>150</v>
      </c>
      <c r="BI79" s="548">
        <f t="shared" si="9"/>
        <v>835</v>
      </c>
    </row>
    <row r="80" spans="2:61" ht="25" customHeight="1" thickBot="1" x14ac:dyDescent="0.3">
      <c r="B80" s="2" t="s">
        <v>37</v>
      </c>
      <c r="I80" s="613"/>
      <c r="J80" s="615" t="s">
        <v>105</v>
      </c>
      <c r="K80" s="486" t="s">
        <v>102</v>
      </c>
      <c r="L80" s="126"/>
      <c r="M80" s="126"/>
      <c r="N80" s="127"/>
      <c r="O80" s="105"/>
      <c r="S80" s="152"/>
      <c r="T80" s="576"/>
      <c r="U80" s="181" t="s">
        <v>58</v>
      </c>
      <c r="V80" s="283">
        <f>V79+V78</f>
        <v>54</v>
      </c>
      <c r="W80" s="515">
        <f t="shared" si="14"/>
        <v>1800</v>
      </c>
      <c r="X80" s="550">
        <f>X78+X79</f>
        <v>54</v>
      </c>
      <c r="Y80" s="165"/>
      <c r="Z80" s="522">
        <f>IF(AND(AN50=0,AN56=0,AN62=0,AN74=0,AN68=0),SUM(AC80:AL80),SUM(AC80:AL80)-AN80)</f>
        <v>197</v>
      </c>
      <c r="AA80" s="508">
        <f>IF(AND($B$119="S",OR($E$21="Y",$E$22="Y",$E$23="Y",$E$24="Y",$E$26="Y")),0,BI80)</f>
        <v>865</v>
      </c>
      <c r="AB80" s="523">
        <f>IF(AND(AO50=0,AO56=0,AO62=0,AO68=0,AO74=0),AP80,IF(AP80-AO80&lt;0,0,AP80-AO80))</f>
        <v>490</v>
      </c>
      <c r="AC80" s="173">
        <v>8</v>
      </c>
      <c r="AD80" s="174">
        <f>AD79+AD78</f>
        <v>65</v>
      </c>
      <c r="AE80" s="257">
        <f>AE79+AE78</f>
        <v>0</v>
      </c>
      <c r="AF80" s="177">
        <v>2</v>
      </c>
      <c r="AG80" s="258">
        <f>AG78+AG79</f>
        <v>6</v>
      </c>
      <c r="AH80" s="257">
        <f>AH79+AH78</f>
        <v>0</v>
      </c>
      <c r="AI80" s="257">
        <f>AI79+AI78</f>
        <v>0</v>
      </c>
      <c r="AJ80" s="174">
        <f>AJ79+AJ78</f>
        <v>0</v>
      </c>
      <c r="AK80" s="174">
        <f>AK79+AK78</f>
        <v>15</v>
      </c>
      <c r="AL80" s="386">
        <f>AL79+AL78</f>
        <v>101</v>
      </c>
      <c r="AM80" s="529">
        <f t="shared" si="15"/>
        <v>197</v>
      </c>
      <c r="AN80" s="540">
        <f>IF($B$119="S",IF($E$27="Y",AC80+AD80+AF80+AG80,0),0)</f>
        <v>0</v>
      </c>
      <c r="AO80" s="541">
        <f>IF($B$119="S",IF($E$27="Y",AP80-AQ80-AR80-AS80,0),0)</f>
        <v>0</v>
      </c>
      <c r="AP80" s="542">
        <f>AP78+AP79</f>
        <v>490</v>
      </c>
      <c r="AQ80" s="253">
        <f>AQ78+AQ79</f>
        <v>0</v>
      </c>
      <c r="AR80" s="91">
        <f>AR78+AR79</f>
        <v>0</v>
      </c>
      <c r="AS80" s="393">
        <f>AS78+AS79</f>
        <v>0</v>
      </c>
      <c r="AT80" s="394" t="s">
        <v>184</v>
      </c>
      <c r="AU80" s="394"/>
      <c r="AV80" s="394"/>
      <c r="AW80" s="394"/>
      <c r="AX80" s="394"/>
      <c r="AY80" s="396"/>
      <c r="AZ80" s="392">
        <f>AZ79</f>
        <v>120</v>
      </c>
      <c r="BA80" s="174">
        <f>BA79</f>
        <v>20</v>
      </c>
      <c r="BB80" s="174">
        <f>BB79</f>
        <v>655</v>
      </c>
      <c r="BC80" s="174">
        <f>BC79+BC78</f>
        <v>0</v>
      </c>
      <c r="BD80" s="174">
        <f>BD79+BD78</f>
        <v>70</v>
      </c>
      <c r="BE80" s="174">
        <f>BE79+BE78</f>
        <v>1500</v>
      </c>
      <c r="BF80" s="456">
        <f>BF79+BF78</f>
        <v>2780</v>
      </c>
      <c r="BG80" s="545">
        <f t="shared" si="8"/>
        <v>5445</v>
      </c>
      <c r="BH80" s="376">
        <f>BH79+BH78</f>
        <v>300</v>
      </c>
      <c r="BI80" s="549">
        <f t="shared" si="9"/>
        <v>865</v>
      </c>
    </row>
    <row r="81" spans="2:61" ht="22" customHeight="1" thickBot="1" x14ac:dyDescent="0.25">
      <c r="I81" s="613"/>
      <c r="J81" s="616"/>
      <c r="K81" s="746" t="s">
        <v>248</v>
      </c>
      <c r="L81" s="755" t="s">
        <v>101</v>
      </c>
      <c r="M81" s="756"/>
      <c r="N81" s="757" t="s">
        <v>247</v>
      </c>
      <c r="O81" s="128" t="s">
        <v>103</v>
      </c>
      <c r="P81" s="129" t="s">
        <v>141</v>
      </c>
      <c r="Q81" s="130" t="s">
        <v>104</v>
      </c>
      <c r="T81" s="572" t="s">
        <v>223</v>
      </c>
      <c r="U81" s="169" t="s">
        <v>120</v>
      </c>
      <c r="V81" s="179">
        <f>IF($E$22="N",10,10-AF31)</f>
        <v>10</v>
      </c>
      <c r="W81" s="551">
        <f t="shared" ref="W81:W86" si="16">IF($E$15="N",BC81+BH81,BH81)</f>
        <v>1</v>
      </c>
      <c r="X81" s="290">
        <f>IF($E$22="N",33,33-AG31)</f>
        <v>33</v>
      </c>
      <c r="Y81" s="14"/>
      <c r="Z81" s="518">
        <f>IF(AND(AN45=0,AN51=0,AN57=0,AN63=0,AN75=0,AN69=0),SUM(AC81:AL81),SUM(AC81:AL81)-AN81)</f>
        <v>22</v>
      </c>
      <c r="AA81" s="509">
        <f>IF(AND($B$119="S",OR($E$21="Y",$E$22="Y",$E$23="Y",$E$24="Y",$E$26="Y",$E$27="Y")),0,BI81)</f>
        <v>815</v>
      </c>
      <c r="AB81" s="519">
        <f>IF(AND(AO45=0,AO51=0,AO57=0,AO63=0,AO69=0,AO75=0),AP81,IF(AP81-AO81&lt;0,0,AP81-AO81))</f>
        <v>6</v>
      </c>
      <c r="AC81" s="172">
        <v>5</v>
      </c>
      <c r="AD81" s="170">
        <v>14</v>
      </c>
      <c r="AE81" s="170">
        <v>0</v>
      </c>
      <c r="AF81" s="175">
        <v>2</v>
      </c>
      <c r="AG81" s="172">
        <v>1</v>
      </c>
      <c r="AH81" s="170">
        <v>0</v>
      </c>
      <c r="AI81" s="170">
        <v>0</v>
      </c>
      <c r="AJ81" s="170"/>
      <c r="AK81" s="170"/>
      <c r="AL81" s="384"/>
      <c r="AM81" s="527">
        <f t="shared" si="15"/>
        <v>22</v>
      </c>
      <c r="AN81" s="534">
        <f>IF($B$119="S",IF($E$28="Y",AC81+AD81+AF81+AG81,0),0)</f>
        <v>0</v>
      </c>
      <c r="AO81" s="535">
        <f>IF($B$119="S",IF($E$28="Y",AP81-AQ81-AR81-AS81,0),0)</f>
        <v>0</v>
      </c>
      <c r="AP81" s="536">
        <f>SUM(AQ81:AY81)</f>
        <v>6</v>
      </c>
      <c r="AQ81" s="172">
        <v>0</v>
      </c>
      <c r="AR81" s="170">
        <v>0</v>
      </c>
      <c r="AS81" s="170">
        <v>0</v>
      </c>
      <c r="AT81" s="170">
        <v>2</v>
      </c>
      <c r="AU81" s="170"/>
      <c r="AV81" s="170"/>
      <c r="AW81" s="170"/>
      <c r="AX81" s="170">
        <v>4</v>
      </c>
      <c r="AY81" s="384"/>
      <c r="AZ81" s="172">
        <v>120</v>
      </c>
      <c r="BA81" s="170">
        <v>20</v>
      </c>
      <c r="BB81" s="170">
        <v>655</v>
      </c>
      <c r="BC81" s="170">
        <v>0</v>
      </c>
      <c r="BD81" s="170">
        <v>20</v>
      </c>
      <c r="BE81" s="170"/>
      <c r="BF81" s="454"/>
      <c r="BG81" s="547">
        <f t="shared" si="8"/>
        <v>816</v>
      </c>
      <c r="BH81" s="168">
        <v>1</v>
      </c>
      <c r="BI81" s="547">
        <f t="shared" si="9"/>
        <v>815</v>
      </c>
    </row>
    <row r="82" spans="2:61" ht="43" customHeight="1" thickBot="1" x14ac:dyDescent="0.25">
      <c r="B82" s="2">
        <v>1</v>
      </c>
      <c r="I82" s="613"/>
      <c r="J82" s="616"/>
      <c r="K82" s="754" t="str">
        <f>"OpenShift Master Nodes:  Totals -&gt; "&amp;CHAR(10)&amp;G6&amp;" VPCs, "&amp;I6&amp;"GBs of Mem, "&amp;K6&amp;"GBs Storage"</f>
        <v>OpenShift Master Nodes:  Totals -&gt; 
12 VPCs, 48GBs of Mem, 360GBs Storage</v>
      </c>
      <c r="L82" s="759" t="str">
        <f>IF(E13="N","VPCs: "&amp;G6&amp;"   Memory(GB): "&amp;I6&amp;"   Storage (GB): "&amp;K6, "VPCs: "&amp;F6&amp;"   Memory(GB): "&amp;H6&amp;CHAR(10)&amp;"Storage (GB): "&amp;J6)</f>
        <v>VPCs: 4   Memory(GB): 16
Storage (GB): 120</v>
      </c>
      <c r="M82" s="760"/>
      <c r="N82" s="758">
        <f>IF(E14="Y",0,IF(E13="Y",3,1))</f>
        <v>3</v>
      </c>
      <c r="O82" s="131"/>
      <c r="P82" s="132"/>
      <c r="Q82" s="133"/>
      <c r="T82" s="573"/>
      <c r="U82" s="180" t="s">
        <v>119</v>
      </c>
      <c r="V82" s="92">
        <f>IF($E$22="N",17,17-AF32)</f>
        <v>17</v>
      </c>
      <c r="W82" s="514">
        <f t="shared" si="16"/>
        <v>1</v>
      </c>
      <c r="X82" s="254">
        <f>IF($E$22="N",33,33-AG32)</f>
        <v>33</v>
      </c>
      <c r="Y82" s="165"/>
      <c r="Z82" s="520">
        <f>IF(AND(AN46=0,AN52=0,AN58=0,AN64=0,AN76=0,AN70=0),SUM(AC82:AL82),SUM(AC82:AL82)-AN82)</f>
        <v>23</v>
      </c>
      <c r="AA82" s="507">
        <f>IF(AND($B$119="S",OR($E$21="Y",$E$22="Y",$E$23="Y",$E$24="Y",$E$26="Y",$E$27="Y")),0,BI82)</f>
        <v>815</v>
      </c>
      <c r="AB82" s="521">
        <f>IF(AND(AO46=0,AO52=0,AO58=0,AO64=0,AO70=0,AO76=0),AP82,IF(AP82-AO82&lt;0,0,AP82-AO82))</f>
        <v>6</v>
      </c>
      <c r="AC82" s="119">
        <v>5</v>
      </c>
      <c r="AD82" s="91">
        <v>14</v>
      </c>
      <c r="AE82" s="91">
        <v>0</v>
      </c>
      <c r="AF82" s="176">
        <v>2</v>
      </c>
      <c r="AG82" s="119">
        <v>2</v>
      </c>
      <c r="AH82" s="91">
        <v>0</v>
      </c>
      <c r="AI82" s="91">
        <v>0</v>
      </c>
      <c r="AJ82" s="91"/>
      <c r="AK82" s="91"/>
      <c r="AL82" s="385"/>
      <c r="AM82" s="528">
        <f t="shared" si="15"/>
        <v>23</v>
      </c>
      <c r="AN82" s="537">
        <f>IF($B$119="S",IF($E$28="Y",AC82+AD82+AF82+AG82,0),0)</f>
        <v>0</v>
      </c>
      <c r="AO82" s="538">
        <f>IF($B$119="S",IF($E$28="Y",AP82-AQ82-AR82-AS82,0),0)</f>
        <v>0</v>
      </c>
      <c r="AP82" s="539">
        <f>SUM(AQ82:AY82)</f>
        <v>6</v>
      </c>
      <c r="AQ82" s="119">
        <v>0</v>
      </c>
      <c r="AR82" s="91">
        <v>0</v>
      </c>
      <c r="AS82" s="369">
        <v>0</v>
      </c>
      <c r="AT82" s="369">
        <v>2</v>
      </c>
      <c r="AU82" s="369"/>
      <c r="AV82" s="369"/>
      <c r="AW82" s="369"/>
      <c r="AX82" s="369">
        <v>4</v>
      </c>
      <c r="AY82" s="395"/>
      <c r="AZ82" s="119">
        <v>120</v>
      </c>
      <c r="BA82" s="91">
        <v>20</v>
      </c>
      <c r="BB82" s="91">
        <v>655</v>
      </c>
      <c r="BC82" s="91">
        <v>0</v>
      </c>
      <c r="BD82" s="91">
        <v>20</v>
      </c>
      <c r="BE82" s="91"/>
      <c r="BF82" s="429"/>
      <c r="BG82" s="548">
        <f t="shared" si="8"/>
        <v>816</v>
      </c>
      <c r="BH82" s="375">
        <v>1</v>
      </c>
      <c r="BI82" s="548">
        <f t="shared" si="9"/>
        <v>815</v>
      </c>
    </row>
    <row r="83" spans="2:61" ht="40" customHeight="1" thickBot="1" x14ac:dyDescent="0.3">
      <c r="B83" s="2">
        <v>2</v>
      </c>
      <c r="I83" s="613"/>
      <c r="J83" s="616"/>
      <c r="K83" s="754" t="str">
        <f>"Openshift Worker Nodes:  Totals -&gt;  "&amp;CHAR(10)&amp;IF(B123="Y",B127&amp;" VPCs, "&amp;B129&amp;" GBs of Memory",IF(ROUNDUP(M73+M76+M78,0)&gt;0,ROUNDUP(M73+M76+M78,0),G7)&amp;" VPCs,  "&amp;IF(O76+O73+O78&gt;0,O76+O73+O78,I7)&amp;" GBs of Memory, "&amp;P73+P78&amp;" GPUs")</f>
        <v>Openshift Worker Nodes:  Totals -&gt;  
4 VPCs,  16 GBs of Memory, 0 GPUs</v>
      </c>
      <c r="L83" s="752" t="str">
        <f>"VPCs: "&amp;N93 &amp; "  Memory(GB): "&amp;N94&amp;IF(AND(B123="N",E26="Y"),"  GPUs: "&amp;N95,"")</f>
        <v>VPCs: 16  Memory(GB): 256</v>
      </c>
      <c r="M83" s="753"/>
      <c r="N83" s="294">
        <f>IF($B$123="N",IF(AND(E14="N",E13="Y"),MAX(2,MAX(ROUNDUP(M79/N93,0),ROUNDUP(O79/N94,0),IF(N95=0,0,ROUNDUP(P79/N95,0)))),MAX(ROUNDUP(M79/N93,0),ROUNDUP(O79/N94,0),IF(N95=0,0,ROUNDUP(P79/N95,0)))),IF(AND(E14="N",E13="Y"),MAX(2,MAX(ROUNDUP((M79-M67-M68)/N93,0),ROUNDUP((O79-O67-O68)/N94,0),IF(N95=0,0,ROUNDUP((P79-P67-P68)/N95,0)))),MAX(ROUNDUP((M79-M67-M68)/N93,0),ROUNDUP((O79-O67-O68)/N94,0),IF(N95=0,0,ROUNDUP((P79-P67-P68)/N95,0)))))</f>
        <v>2</v>
      </c>
      <c r="O83" s="284">
        <f>IF($B$123="N",M79/N93,(M79-M67-M68)/N93)</f>
        <v>0</v>
      </c>
      <c r="P83" s="285">
        <f>IF($B$123="N",O79/N94,(O79-O67-O68)/N94)</f>
        <v>0</v>
      </c>
      <c r="Q83" s="286">
        <f>IF(AND(B123="N",N95&gt;0),P79/N95,0)</f>
        <v>0</v>
      </c>
      <c r="T83" s="574"/>
      <c r="U83" s="119" t="s">
        <v>20</v>
      </c>
      <c r="V83" s="266">
        <f>IF($E$22="N",17,17-AF33)</f>
        <v>17</v>
      </c>
      <c r="W83" s="514">
        <f t="shared" si="16"/>
        <v>1</v>
      </c>
      <c r="X83" s="254">
        <f>IF($E$22="N",60,60-AG33)</f>
        <v>60</v>
      </c>
      <c r="Y83" s="165"/>
      <c r="Z83" s="520">
        <f>IF(AND(AN47=0,AN53=0,AN59=0,AN65=0,AN77=0,AN71=0),SUM(AC83:AL83),SUM(AC83:AL83)-AN83)</f>
        <v>23</v>
      </c>
      <c r="AA83" s="507">
        <f>IF(AND($B$119="S",OR($E$21="Y",$E$22="Y",$E$23="Y",$E$24="Y",$E$26="Y",$E$27="Y")),0,BI83)</f>
        <v>815</v>
      </c>
      <c r="AB83" s="521">
        <f>IF(AND(AO47=0,AO53=0,AO59=0,AO65=0,AO71=0,AO77=0),AP83,IF(AP83-AO83&lt;0,0,AP83-AO83))</f>
        <v>6</v>
      </c>
      <c r="AC83" s="119">
        <v>5</v>
      </c>
      <c r="AD83" s="91">
        <v>14</v>
      </c>
      <c r="AE83" s="91">
        <v>0</v>
      </c>
      <c r="AF83" s="176">
        <v>2</v>
      </c>
      <c r="AG83" s="119">
        <v>2</v>
      </c>
      <c r="AH83" s="91">
        <v>0</v>
      </c>
      <c r="AI83" s="91">
        <v>0</v>
      </c>
      <c r="AJ83" s="91"/>
      <c r="AK83" s="91"/>
      <c r="AL83" s="385"/>
      <c r="AM83" s="528">
        <f t="shared" si="15"/>
        <v>23</v>
      </c>
      <c r="AN83" s="537">
        <f>IF($B$119="S",IF($E$28="Y",AC83+AD83+AF83+AG83,0),0)</f>
        <v>0</v>
      </c>
      <c r="AO83" s="538">
        <f>IF($B$119="S",IF($E$28="Y",AP83-AQ83-AR83-AS83,0),0)</f>
        <v>0</v>
      </c>
      <c r="AP83" s="539">
        <f>SUM(AQ83:AY83)</f>
        <v>6</v>
      </c>
      <c r="AQ83" s="119">
        <v>0</v>
      </c>
      <c r="AR83" s="91">
        <v>0</v>
      </c>
      <c r="AS83" s="369">
        <v>0</v>
      </c>
      <c r="AT83" s="369">
        <v>2</v>
      </c>
      <c r="AU83" s="369"/>
      <c r="AV83" s="369"/>
      <c r="AW83" s="369"/>
      <c r="AX83" s="369">
        <v>4</v>
      </c>
      <c r="AY83" s="395"/>
      <c r="AZ83" s="119">
        <v>120</v>
      </c>
      <c r="BA83" s="91">
        <v>20</v>
      </c>
      <c r="BB83" s="91">
        <v>655</v>
      </c>
      <c r="BC83" s="91">
        <v>0</v>
      </c>
      <c r="BD83" s="91">
        <v>20</v>
      </c>
      <c r="BE83" s="91"/>
      <c r="BF83" s="429"/>
      <c r="BG83" s="548">
        <f t="shared" si="8"/>
        <v>816</v>
      </c>
      <c r="BH83" s="375">
        <v>1</v>
      </c>
      <c r="BI83" s="548">
        <f t="shared" si="9"/>
        <v>815</v>
      </c>
    </row>
    <row r="84" spans="2:61" ht="38" customHeight="1" thickBot="1" x14ac:dyDescent="0.3">
      <c r="B84" s="2">
        <v>4</v>
      </c>
      <c r="I84" s="613"/>
      <c r="J84" s="616"/>
      <c r="K84" s="747" t="str">
        <f>IF(B123="N","","Openshift Worker Nodes:  Totals -&gt;      "&amp;CHAR(10)&amp;IF(ROUNDUP(M67+O67+P67,0)&gt;0,ROUNDUP(M67+M68,0)&amp;" VPCs, "&amp;O67+O68&amp;" GBs of Memory, "&amp;P67+P68+P78&amp;" GPUs",""))</f>
        <v/>
      </c>
      <c r="L84" s="749" t="str">
        <f>IF(B123="Y","VPCs: "&amp;N100 &amp; "  Memory(GB): "&amp;N101&amp;"     GPUs: "&amp;N102,"")</f>
        <v/>
      </c>
      <c r="M84" s="560"/>
      <c r="N84" s="489" t="str">
        <f>IF(B123="N","",MAX(ROUNDUP((M67+M68)/N100,0),ROUNDUP((O67+O68)/N101,0),IF(N102=0,0,ROUNDUP((P67+P68+P78)/N102,0))))</f>
        <v/>
      </c>
      <c r="O84" s="287" t="str">
        <f>IF(B123="Y",(M67+M68)/N100,"")</f>
        <v/>
      </c>
      <c r="P84" s="288" t="str">
        <f>IF(B123="Y",(O67+O68)/N101,"")</f>
        <v/>
      </c>
      <c r="Q84" s="289" t="str">
        <f>IF(AND(B123="Y",N102&gt;0),P79/N102,"")</f>
        <v/>
      </c>
      <c r="T84" s="164" t="s">
        <v>80</v>
      </c>
      <c r="U84" s="119" t="s">
        <v>22</v>
      </c>
      <c r="V84" s="267">
        <f>IF($E$22="N",29,29-AF34)</f>
        <v>29</v>
      </c>
      <c r="W84" s="507">
        <f t="shared" si="16"/>
        <v>5</v>
      </c>
      <c r="X84" s="254">
        <f>IF($E$22="N",80,80-AG34)</f>
        <v>80</v>
      </c>
      <c r="Y84" s="165"/>
      <c r="Z84" s="520">
        <f>IF(AND(AN48=0,AN54=0,AN60=0,AN66=0,AN78=0,AN72=0),SUM(AC84:AL84),SUM(AC84:AL84)-AN84)</f>
        <v>40</v>
      </c>
      <c r="AA84" s="507">
        <f>IF(AND($B$119="S",OR($E$21="Y",$E$22="Y",$E$23="Y",$E$24="Y",$E$26="Y",$E$27="Y")),0,BI84)</f>
        <v>825</v>
      </c>
      <c r="AB84" s="521">
        <f>IF(AND(AO48=0,AO54=0,AO60=0,AO66=0,AO72=0,AO78=0),AP84,IF(AP84-AO84&lt;0,0,AP84-AO84))</f>
        <v>7</v>
      </c>
      <c r="AC84" s="119">
        <v>8</v>
      </c>
      <c r="AD84" s="91">
        <v>28</v>
      </c>
      <c r="AE84" s="91">
        <v>0</v>
      </c>
      <c r="AF84" s="176">
        <v>2</v>
      </c>
      <c r="AG84" s="119">
        <v>2</v>
      </c>
      <c r="AH84" s="91">
        <v>0</v>
      </c>
      <c r="AI84" s="91">
        <v>0</v>
      </c>
      <c r="AJ84" s="91"/>
      <c r="AK84" s="91"/>
      <c r="AL84" s="385"/>
      <c r="AM84" s="528">
        <f t="shared" si="15"/>
        <v>40</v>
      </c>
      <c r="AN84" s="537">
        <f>IF($B$119="S",IF($E$28="Y",AC84+AD84+AF84+AG84,0),0)</f>
        <v>0</v>
      </c>
      <c r="AO84" s="538">
        <f>IF($B$119="S",IF($E$28="Y",AP84-AQ84-AR84-AS84,0),0)</f>
        <v>0</v>
      </c>
      <c r="AP84" s="539">
        <f>SUM(AQ84:AY84)</f>
        <v>7</v>
      </c>
      <c r="AQ84" s="119">
        <v>0</v>
      </c>
      <c r="AR84" s="91">
        <v>0</v>
      </c>
      <c r="AS84" s="369">
        <v>0</v>
      </c>
      <c r="AT84" s="369">
        <v>3</v>
      </c>
      <c r="AU84" s="369"/>
      <c r="AV84" s="369"/>
      <c r="AW84" s="369"/>
      <c r="AX84" s="369">
        <v>4</v>
      </c>
      <c r="AY84" s="395"/>
      <c r="AZ84" s="119">
        <v>120</v>
      </c>
      <c r="BA84" s="91">
        <v>20</v>
      </c>
      <c r="BB84" s="91">
        <v>655</v>
      </c>
      <c r="BC84" s="91">
        <v>0</v>
      </c>
      <c r="BD84" s="91">
        <v>30</v>
      </c>
      <c r="BE84" s="91"/>
      <c r="BF84" s="429"/>
      <c r="BG84" s="548">
        <f t="shared" si="8"/>
        <v>830</v>
      </c>
      <c r="BH84" s="375">
        <v>5</v>
      </c>
      <c r="BI84" s="548">
        <f t="shared" si="9"/>
        <v>825</v>
      </c>
    </row>
    <row r="85" spans="2:61" ht="39" customHeight="1" thickBot="1" x14ac:dyDescent="0.3">
      <c r="B85" s="2">
        <v>8</v>
      </c>
      <c r="I85" s="613"/>
      <c r="J85" s="617"/>
      <c r="K85" s="748" t="s">
        <v>249</v>
      </c>
      <c r="L85" s="750" t="s">
        <v>250</v>
      </c>
      <c r="M85" s="733"/>
      <c r="N85" s="294">
        <f>IF(N79&gt;0,N79,K7)</f>
        <v>240</v>
      </c>
      <c r="O85" s="143"/>
      <c r="P85" s="144"/>
      <c r="Q85" s="145"/>
      <c r="T85" s="575">
        <v>1</v>
      </c>
      <c r="U85" s="119" t="s">
        <v>2</v>
      </c>
      <c r="V85" s="98">
        <f>IF($E$22="N",110,110-AF35)</f>
        <v>110</v>
      </c>
      <c r="W85" s="514">
        <f t="shared" si="16"/>
        <v>50</v>
      </c>
      <c r="X85" s="254">
        <f>IF($E$22="N",1440,1440-AG35)</f>
        <v>1440</v>
      </c>
      <c r="Y85" s="165"/>
      <c r="Z85" s="520">
        <f>IF(AND(AN49=0,AN55=0,AN61=0,AN67=0,AN79=0,AN73=0),SUM(AC85:AL85),SUM(AC85:AL85)-AN85)</f>
        <v>51</v>
      </c>
      <c r="AA85" s="507">
        <f>IF(AND($B$119="S",OR($E$21="Y",$E$22="Y",$E$23="Y",$E$24="Y",$E$26="Y",$E$27="Y")),0,BI85)</f>
        <v>835</v>
      </c>
      <c r="AB85" s="521">
        <f>IF(AND(AO49=0,AO55=0,AO61=0,AO67=0,AO73=0,AO79=0),AP85,IF(AP85-AO85&lt;0,0,AP85-AO85))</f>
        <v>103</v>
      </c>
      <c r="AC85" s="119">
        <v>8</v>
      </c>
      <c r="AD85" s="91">
        <v>37</v>
      </c>
      <c r="AE85" s="91">
        <v>0</v>
      </c>
      <c r="AF85" s="176">
        <v>2</v>
      </c>
      <c r="AG85" s="119">
        <v>4</v>
      </c>
      <c r="AH85" s="91">
        <v>0</v>
      </c>
      <c r="AI85" s="91">
        <v>0</v>
      </c>
      <c r="AJ85" s="91"/>
      <c r="AK85" s="91"/>
      <c r="AL85" s="385"/>
      <c r="AM85" s="528">
        <f t="shared" si="15"/>
        <v>51</v>
      </c>
      <c r="AN85" s="537">
        <f>IF($B$119="S",IF($E$28="Y",AC85+AD85+AF85+AG85,0),0)</f>
        <v>0</v>
      </c>
      <c r="AO85" s="538">
        <f>IF($B$119="S",IF($E$28="Y",AP85-AQ85-AR85-AS85,0),0)</f>
        <v>0</v>
      </c>
      <c r="AP85" s="539">
        <f>SUM(AQ85:AY85)</f>
        <v>103</v>
      </c>
      <c r="AQ85" s="119">
        <v>0</v>
      </c>
      <c r="AR85" s="91">
        <v>0</v>
      </c>
      <c r="AS85" s="369">
        <v>0</v>
      </c>
      <c r="AT85" s="369">
        <v>3</v>
      </c>
      <c r="AU85" s="369">
        <v>96</v>
      </c>
      <c r="AV85" s="369"/>
      <c r="AW85" s="369"/>
      <c r="AX85" s="369">
        <v>4</v>
      </c>
      <c r="AY85" s="395"/>
      <c r="AZ85" s="119">
        <v>120</v>
      </c>
      <c r="BA85" s="91">
        <v>20</v>
      </c>
      <c r="BB85" s="91">
        <v>655</v>
      </c>
      <c r="BC85" s="91">
        <v>0</v>
      </c>
      <c r="BD85" s="91">
        <v>40</v>
      </c>
      <c r="BE85" s="91"/>
      <c r="BF85" s="429"/>
      <c r="BG85" s="548">
        <f t="shared" si="8"/>
        <v>885</v>
      </c>
      <c r="BH85" s="375">
        <v>50</v>
      </c>
      <c r="BI85" s="548">
        <f t="shared" si="9"/>
        <v>835</v>
      </c>
    </row>
    <row r="86" spans="2:61" ht="17" thickBot="1" x14ac:dyDescent="0.25">
      <c r="B86" s="2">
        <v>16</v>
      </c>
      <c r="I86" s="614"/>
      <c r="J86" s="142" t="s">
        <v>113</v>
      </c>
      <c r="K86" s="734" t="str">
        <f>IF(COUNTIF(K21:K26,"Beyond Large")&gt;0,"Warning Sizing Contains Beyond Large, Contact Offering Management Before Finalizing the Sizing",IF(AND(N83-O83&gt;=1,N83-P83&gt;=1,N83-Q83&gt;=1),"Minimum Configuration for OpenShift Requires at Least 2 Work Nodes for HA Configuration",""))</f>
        <v>Minimum Configuration for OpenShift Requires at Least 2 Work Nodes for HA Configuration</v>
      </c>
      <c r="L86" s="735"/>
      <c r="M86" s="735"/>
      <c r="N86" s="735"/>
      <c r="O86" s="735"/>
      <c r="P86" s="735"/>
      <c r="Q86" s="736"/>
      <c r="T86" s="576"/>
      <c r="U86" s="125" t="s">
        <v>58</v>
      </c>
      <c r="V86" s="255">
        <f>V85+V84</f>
        <v>139</v>
      </c>
      <c r="W86" s="513">
        <f t="shared" si="16"/>
        <v>55</v>
      </c>
      <c r="X86" s="256">
        <f>X85+X84</f>
        <v>1520</v>
      </c>
      <c r="Y86" s="165"/>
      <c r="Z86" s="522">
        <f>IF(AND(AN50=0,AN56=0,AN62=0,AN68=0,AN80=0,AN74=0),SUM(AC86:AL86),SUM(AC86:AL86)-AN86)</f>
        <v>81</v>
      </c>
      <c r="AA86" s="508">
        <f>IF(AND($B$119="S",OR($E$21="Y",$E$22="Y",$E$23="Y",$E$24="Y",$E$26="Y",$E$27="Y")),0,BI86)</f>
        <v>865</v>
      </c>
      <c r="AB86" s="523">
        <f>IF(AND(AO50=0,AO56=0,AO62=0,AO68=0,AO74=0,AO80=0),AP86,IF(AP86-AO86&lt;0,0,AP86-AO86))</f>
        <v>110</v>
      </c>
      <c r="AC86" s="173">
        <v>8</v>
      </c>
      <c r="AD86" s="174">
        <f>AD85+AD84</f>
        <v>65</v>
      </c>
      <c r="AE86" s="257">
        <f>AE85+AE84</f>
        <v>0</v>
      </c>
      <c r="AF86" s="177">
        <v>2</v>
      </c>
      <c r="AG86" s="258">
        <f>AG84+AG85</f>
        <v>6</v>
      </c>
      <c r="AH86" s="257">
        <f>AH85+AH84</f>
        <v>0</v>
      </c>
      <c r="AI86" s="257">
        <f>AI85+AI84</f>
        <v>0</v>
      </c>
      <c r="AJ86" s="174"/>
      <c r="AK86" s="174"/>
      <c r="AL86" s="386"/>
      <c r="AM86" s="529">
        <f t="shared" si="15"/>
        <v>81</v>
      </c>
      <c r="AN86" s="540">
        <f>IF($B$119="S",IF($E$28="Y",AC86+AD86+AF86+AG86,0),0)</f>
        <v>0</v>
      </c>
      <c r="AO86" s="541">
        <f>IF($B$119="S",IF($E$28="Y",AP86-AQ86-AR86-AS86,0),0)</f>
        <v>0</v>
      </c>
      <c r="AP86" s="542">
        <f>AP84+AP85</f>
        <v>110</v>
      </c>
      <c r="AQ86" s="253">
        <f>AQ84+AQ85</f>
        <v>0</v>
      </c>
      <c r="AR86" s="91">
        <v>0</v>
      </c>
      <c r="AS86" s="393">
        <f>AS85+AS84</f>
        <v>0</v>
      </c>
      <c r="AT86" s="394" t="s">
        <v>184</v>
      </c>
      <c r="AU86" s="394"/>
      <c r="AV86" s="394"/>
      <c r="AW86" s="394"/>
      <c r="AX86" s="394"/>
      <c r="AY86" s="396"/>
      <c r="AZ86" s="173">
        <f>AZ85</f>
        <v>120</v>
      </c>
      <c r="BA86" s="174">
        <f>BA85</f>
        <v>20</v>
      </c>
      <c r="BB86" s="174">
        <f>BB85</f>
        <v>655</v>
      </c>
      <c r="BC86" s="174">
        <f>BC85+BC84</f>
        <v>0</v>
      </c>
      <c r="BD86" s="174">
        <f>BD85+BD84</f>
        <v>70</v>
      </c>
      <c r="BE86" s="174"/>
      <c r="BF86" s="455"/>
      <c r="BG86" s="549">
        <f t="shared" si="8"/>
        <v>920</v>
      </c>
      <c r="BH86" s="376">
        <f>BH85+BH84</f>
        <v>55</v>
      </c>
      <c r="BI86" s="549">
        <f t="shared" si="9"/>
        <v>865</v>
      </c>
    </row>
    <row r="87" spans="2:61" ht="53" customHeight="1" thickBot="1" x14ac:dyDescent="0.25">
      <c r="B87" s="2">
        <v>20</v>
      </c>
      <c r="I87" s="555" t="s">
        <v>213</v>
      </c>
      <c r="J87" s="556"/>
      <c r="K87" s="557" t="str">
        <f>IF(E13="Y","Isolated Master Nodes  :  ","Consolidated Master Nodes  :")&amp;IF(E14="Y","Using Existing OpenShift  :  ", "New OpenShift Cluster  :  ")&amp;IF(E15="N","New DB2 Deployment  :  ","Existing DB Deployment  :  ")&amp;"  :  "&amp;CHAR(10)&amp;IF(L53&gt;0,IF(E16="Individual","Individual Dev Environments for Each Offering","Single Shared Dev Environment"),"")</f>
        <v xml:space="preserve">Isolated Master Nodes  :  New OpenShift Cluster  :  New DB2 Deployment  :    :  
</v>
      </c>
      <c r="L87" s="558"/>
      <c r="M87" s="558"/>
      <c r="N87" s="558"/>
      <c r="O87" s="558"/>
      <c r="P87" s="558"/>
      <c r="Q87" s="559"/>
      <c r="T87" s="572" t="s">
        <v>242</v>
      </c>
      <c r="U87" s="169" t="s">
        <v>120</v>
      </c>
      <c r="V87" s="179">
        <v>2</v>
      </c>
      <c r="W87" s="551">
        <f t="shared" ref="W87:W92" si="17">IF($E$15="N",BC87+BH87,BH87)</f>
        <v>1024</v>
      </c>
      <c r="X87" s="290">
        <f>V87*$T$85</f>
        <v>2</v>
      </c>
      <c r="Y87" s="14"/>
      <c r="Z87" s="518">
        <f>IF(AND(AN45=0,AN51=0,AN57=0,AN63=0,AN69=0,AN81=0,AN75=0),SUM(AC87:AL87),SUM(AC87:AL87)-AN87)</f>
        <v>10</v>
      </c>
      <c r="AA87" s="509">
        <f>IF(AND($B$119="S",OR($E$21="Y",$E$22="Y",$E$23="Y",$E$24="Y",$E$26="Y",$E$27="Y")),0,BI87)</f>
        <v>160</v>
      </c>
      <c r="AB87" s="519">
        <f>IF(AND(AO51=0,AO57=0,AO63=0,AO69=0,AO75=0,AO81=0),AP87,IF(AP87-AO87&lt;0,0,AP87-AO87))</f>
        <v>54</v>
      </c>
      <c r="AC87" s="172">
        <v>5</v>
      </c>
      <c r="AD87" s="170">
        <v>0</v>
      </c>
      <c r="AE87" s="170">
        <v>0</v>
      </c>
      <c r="AF87" s="175">
        <v>2</v>
      </c>
      <c r="AG87" s="172">
        <v>1</v>
      </c>
      <c r="AH87" s="170">
        <v>2</v>
      </c>
      <c r="AI87" s="170">
        <v>0</v>
      </c>
      <c r="AJ87" s="170"/>
      <c r="AK87" s="170"/>
      <c r="AL87" s="384"/>
      <c r="AM87" s="527">
        <f t="shared" ref="AM87:AM92" si="18">SUM(AC87:AL87)</f>
        <v>10</v>
      </c>
      <c r="AN87" s="534">
        <f>IF($B$119="S",IF($E$25="Y",IF($E$24="Y",AC87+AD87+AF87+AG87+AH87+AI87,AC87+AD87+AF87+AG87),0),0)</f>
        <v>0</v>
      </c>
      <c r="AO87" s="535">
        <f>IF($B$119="S",IF($E$25="Y",IF($E$24="Y",AP87-AQ87-AR87,AP87-AQ87-AR87-AS87),0),0)</f>
        <v>0</v>
      </c>
      <c r="AP87" s="536">
        <f>SUM(AQ87:AY87)</f>
        <v>54</v>
      </c>
      <c r="AQ87" s="172">
        <v>0</v>
      </c>
      <c r="AR87" s="170">
        <v>0</v>
      </c>
      <c r="AS87" s="170">
        <v>48</v>
      </c>
      <c r="AT87" s="170">
        <v>2</v>
      </c>
      <c r="AU87" s="170"/>
      <c r="AV87" s="170"/>
      <c r="AW87" s="170"/>
      <c r="AX87" s="170">
        <v>4</v>
      </c>
      <c r="AY87" s="384"/>
      <c r="AZ87" s="172">
        <v>120</v>
      </c>
      <c r="BA87" s="170">
        <v>20</v>
      </c>
      <c r="BB87" s="170">
        <v>0</v>
      </c>
      <c r="BC87" s="170">
        <v>0</v>
      </c>
      <c r="BD87" s="170">
        <v>20</v>
      </c>
      <c r="BE87" s="170"/>
      <c r="BF87" s="454"/>
      <c r="BG87" s="547">
        <f t="shared" ref="BG87:BG92" si="19">SUM(AZ87:BF87)+BH87</f>
        <v>1184</v>
      </c>
      <c r="BH87" s="168">
        <v>1024</v>
      </c>
      <c r="BI87" s="547">
        <f t="shared" ref="BI87:BI92" si="20">AZ87+BA87+BB87+BD87</f>
        <v>160</v>
      </c>
    </row>
    <row r="88" spans="2:61" ht="17" thickBot="1" x14ac:dyDescent="0.25">
      <c r="B88" s="2">
        <v>24</v>
      </c>
      <c r="I88" s="487"/>
      <c r="J88" s="487"/>
      <c r="K88" s="488"/>
      <c r="L88" s="488"/>
      <c r="M88" s="488"/>
      <c r="N88" s="488"/>
      <c r="O88" s="488"/>
      <c r="P88" s="488"/>
      <c r="Q88" s="488"/>
      <c r="T88" s="573"/>
      <c r="U88" s="180" t="s">
        <v>119</v>
      </c>
      <c r="V88" s="92">
        <v>2</v>
      </c>
      <c r="W88" s="514">
        <f t="shared" si="17"/>
        <v>1024</v>
      </c>
      <c r="X88" s="254">
        <f>V88*$T$85</f>
        <v>2</v>
      </c>
      <c r="Y88" s="165"/>
      <c r="Z88" s="520">
        <f>IF(AND(AN52=0,AN58=0,AN64=0,AN70=0,AN82=0,AN76=0),SUM(AC88:AL88),SUM(AC88:AL88)-AN88)</f>
        <v>11</v>
      </c>
      <c r="AA88" s="507">
        <f>IF(AND($B$119="S",OR($E$21="Y",$E$22="Y",$E$23="Y",$E$24="Y",$E$26="Y",$E$27="Y")),0,BI88)</f>
        <v>160</v>
      </c>
      <c r="AB88" s="521">
        <f>IF(AND(AO52=0,AO58=0,AO64=0,AO70=0,AO76=0,AO82=0),AP88,IF(AP88-AO88&lt;0,0,AP88-AO88))</f>
        <v>54</v>
      </c>
      <c r="AC88" s="119">
        <v>5</v>
      </c>
      <c r="AD88" s="91">
        <v>0</v>
      </c>
      <c r="AE88" s="91">
        <v>0</v>
      </c>
      <c r="AF88" s="176">
        <v>2</v>
      </c>
      <c r="AG88" s="119">
        <v>2</v>
      </c>
      <c r="AH88" s="91">
        <v>2</v>
      </c>
      <c r="AI88" s="91">
        <v>0</v>
      </c>
      <c r="AJ88" s="91"/>
      <c r="AK88" s="91"/>
      <c r="AL88" s="385"/>
      <c r="AM88" s="528">
        <f t="shared" si="18"/>
        <v>11</v>
      </c>
      <c r="AN88" s="534">
        <f>IF($B$119="S",IF($E$25="Y",IF($E$24="Y",AC88+AD88+AF88+AG88+AH88+AI88,AC88+AD88+AF88+AG88),0),0)</f>
        <v>0</v>
      </c>
      <c r="AO88" s="535">
        <f t="shared" ref="AO88:AO92" si="21">IF($B$119="S",IF($E$25="Y",IF($E$24="Y",AP88-AQ88-AR88,AP88-AQ88-AR88-AS88),0),0)</f>
        <v>0</v>
      </c>
      <c r="AP88" s="539">
        <f>SUM(AQ88:AY88)</f>
        <v>54</v>
      </c>
      <c r="AQ88" s="119">
        <v>0</v>
      </c>
      <c r="AR88" s="91">
        <v>0</v>
      </c>
      <c r="AS88" s="369">
        <v>48</v>
      </c>
      <c r="AT88" s="369">
        <v>2</v>
      </c>
      <c r="AU88" s="369"/>
      <c r="AV88" s="369"/>
      <c r="AW88" s="369"/>
      <c r="AX88" s="369">
        <v>4</v>
      </c>
      <c r="AY88" s="395"/>
      <c r="AZ88" s="119">
        <v>120</v>
      </c>
      <c r="BA88" s="91">
        <v>20</v>
      </c>
      <c r="BB88" s="91">
        <v>0</v>
      </c>
      <c r="BC88" s="91">
        <v>0</v>
      </c>
      <c r="BD88" s="91">
        <v>20</v>
      </c>
      <c r="BE88" s="91"/>
      <c r="BF88" s="429"/>
      <c r="BG88" s="548">
        <f t="shared" si="19"/>
        <v>1184</v>
      </c>
      <c r="BH88" s="375">
        <v>1024</v>
      </c>
      <c r="BI88" s="548">
        <f t="shared" si="20"/>
        <v>160</v>
      </c>
    </row>
    <row r="89" spans="2:61" ht="17" thickBot="1" x14ac:dyDescent="0.25">
      <c r="B89" s="2">
        <v>28</v>
      </c>
      <c r="I89"/>
      <c r="O89" s="3"/>
      <c r="P89" s="3"/>
      <c r="T89" s="574"/>
      <c r="U89" s="119" t="s">
        <v>20</v>
      </c>
      <c r="V89" s="266">
        <v>3</v>
      </c>
      <c r="W89" s="514">
        <f t="shared" si="17"/>
        <v>1024</v>
      </c>
      <c r="X89" s="254">
        <v>5</v>
      </c>
      <c r="Y89" s="165"/>
      <c r="Z89" s="520">
        <f>IF(AND(AN53=0,AN59=0,AN65=0,AN71=0,AN83=0,AN77=0),SUM(AC89:AL89),SUM(AC89:AL89)-AN89)</f>
        <v>11</v>
      </c>
      <c r="AA89" s="507">
        <f>IF(AND($B$119="S",OR($E$21="Y",$E$22="Y",$E$23="Y",$E$24="Y",$E$26="Y",$E$27="Y")),0,BI89)</f>
        <v>160</v>
      </c>
      <c r="AB89" s="521">
        <f>IF(AND(AO53=0,AO59=0,AO65=0,AO71=0,AO77=0,AO83=0),AP89,IF(AP89-AO89&lt;0,0,AP89-AO89))</f>
        <v>54</v>
      </c>
      <c r="AC89" s="119">
        <v>5</v>
      </c>
      <c r="AD89" s="91">
        <v>0</v>
      </c>
      <c r="AE89" s="91">
        <v>0</v>
      </c>
      <c r="AF89" s="176">
        <v>2</v>
      </c>
      <c r="AG89" s="119">
        <v>2</v>
      </c>
      <c r="AH89" s="91">
        <v>2</v>
      </c>
      <c r="AI89" s="91">
        <v>0</v>
      </c>
      <c r="AJ89" s="91"/>
      <c r="AK89" s="91"/>
      <c r="AL89" s="385"/>
      <c r="AM89" s="528">
        <f t="shared" si="18"/>
        <v>11</v>
      </c>
      <c r="AN89" s="534">
        <f>IF($B$119="S",IF($E$25="Y",IF($E$24="Y",AC89+AD89+AF89+AG89+AH89+AI89,AC89+AD89+AF89+AG89),0),0)</f>
        <v>0</v>
      </c>
      <c r="AO89" s="535">
        <f t="shared" si="21"/>
        <v>0</v>
      </c>
      <c r="AP89" s="539">
        <f>SUM(AQ89:AY89)</f>
        <v>54</v>
      </c>
      <c r="AQ89" s="119">
        <v>0</v>
      </c>
      <c r="AR89" s="91">
        <v>0</v>
      </c>
      <c r="AS89" s="369">
        <v>48</v>
      </c>
      <c r="AT89" s="369">
        <v>2</v>
      </c>
      <c r="AU89" s="369"/>
      <c r="AV89" s="369"/>
      <c r="AW89" s="369"/>
      <c r="AX89" s="369">
        <v>4</v>
      </c>
      <c r="AY89" s="395"/>
      <c r="AZ89" s="119">
        <v>120</v>
      </c>
      <c r="BA89" s="91">
        <v>20</v>
      </c>
      <c r="BB89" s="91">
        <v>0</v>
      </c>
      <c r="BC89" s="91">
        <v>0</v>
      </c>
      <c r="BD89" s="91">
        <v>20</v>
      </c>
      <c r="BE89" s="91"/>
      <c r="BF89" s="429"/>
      <c r="BG89" s="548">
        <f t="shared" si="19"/>
        <v>1184</v>
      </c>
      <c r="BH89" s="375">
        <v>1024</v>
      </c>
      <c r="BI89" s="548">
        <f t="shared" si="20"/>
        <v>160</v>
      </c>
    </row>
    <row r="90" spans="2:61" ht="17" thickBot="1" x14ac:dyDescent="0.25">
      <c r="I90"/>
      <c r="L90" s="295" t="str">
        <f>IF(B123="N","OpenShift Worker Node Configuration","OpenShift Worker Node Configuration (Non-MVI)")</f>
        <v>OpenShift Worker Node Configuration</v>
      </c>
      <c r="M90" s="184"/>
      <c r="N90" s="185"/>
      <c r="P90"/>
      <c r="T90" s="164" t="s">
        <v>80</v>
      </c>
      <c r="U90" s="119" t="s">
        <v>22</v>
      </c>
      <c r="V90" s="267">
        <v>7</v>
      </c>
      <c r="W90" s="507">
        <f t="shared" si="17"/>
        <v>1024</v>
      </c>
      <c r="X90" s="254">
        <v>13</v>
      </c>
      <c r="Y90" s="165"/>
      <c r="Z90" s="520">
        <f>IF(AND(AN54=0,AN60=0,AN66=0,AN72=0,AN84=0,AN78=0),SUM(AC90:AL90),SUM(AC90:AL90)-AN90)</f>
        <v>18</v>
      </c>
      <c r="AA90" s="507">
        <f>IF(AND($B$119="S",OR($E$21="Y",$E$22="Y",$E$23="Y",$E$24="Y",$E$26="Y",$E$27="Y")),0,BI90)</f>
        <v>170</v>
      </c>
      <c r="AB90" s="521">
        <f>IF(AND(AO54=0,AO60=0,AO66=0,AO72=0,AO78=0,AO84=0),AP90,IF(AP90-AO90&lt;0,0,AP90-AO90))</f>
        <v>95</v>
      </c>
      <c r="AC90" s="119">
        <v>8</v>
      </c>
      <c r="AD90" s="91">
        <v>0</v>
      </c>
      <c r="AE90" s="91">
        <v>0</v>
      </c>
      <c r="AF90" s="176">
        <v>2</v>
      </c>
      <c r="AG90" s="119">
        <v>2</v>
      </c>
      <c r="AH90" s="91">
        <v>6</v>
      </c>
      <c r="AI90" s="91">
        <v>0</v>
      </c>
      <c r="AJ90" s="91"/>
      <c r="AK90" s="91"/>
      <c r="AL90" s="385"/>
      <c r="AM90" s="528">
        <f t="shared" si="18"/>
        <v>18</v>
      </c>
      <c r="AN90" s="534">
        <f>IF($B$119="S",IF($E$25="Y",IF($E$24="Y",AC90+AD90+AF90+AG90+AH90+AI90,AC90+AD90+AF90+AG90),0),0)</f>
        <v>0</v>
      </c>
      <c r="AO90" s="535">
        <f t="shared" si="21"/>
        <v>0</v>
      </c>
      <c r="AP90" s="539">
        <f>SUM(AQ90:AY90)</f>
        <v>95</v>
      </c>
      <c r="AQ90" s="119">
        <v>0</v>
      </c>
      <c r="AR90" s="91">
        <v>0</v>
      </c>
      <c r="AS90" s="369">
        <v>88</v>
      </c>
      <c r="AT90" s="369">
        <v>3</v>
      </c>
      <c r="AU90" s="369"/>
      <c r="AV90" s="369"/>
      <c r="AW90" s="369"/>
      <c r="AX90" s="369">
        <v>4</v>
      </c>
      <c r="AY90" s="395"/>
      <c r="AZ90" s="119">
        <v>120</v>
      </c>
      <c r="BA90" s="91">
        <v>20</v>
      </c>
      <c r="BB90" s="91">
        <v>0</v>
      </c>
      <c r="BC90" s="91">
        <v>0</v>
      </c>
      <c r="BD90" s="91">
        <v>30</v>
      </c>
      <c r="BE90" s="91"/>
      <c r="BF90" s="429"/>
      <c r="BG90" s="548">
        <f t="shared" si="19"/>
        <v>1194</v>
      </c>
      <c r="BH90" s="375">
        <v>1024</v>
      </c>
      <c r="BI90" s="548">
        <f t="shared" si="20"/>
        <v>170</v>
      </c>
    </row>
    <row r="91" spans="2:61" ht="17" thickBot="1" x14ac:dyDescent="0.25">
      <c r="I91" s="2"/>
      <c r="J91" s="2"/>
      <c r="L91" s="737" t="s">
        <v>77</v>
      </c>
      <c r="M91" s="738"/>
      <c r="N91" s="135">
        <v>1</v>
      </c>
      <c r="T91" s="575">
        <v>1</v>
      </c>
      <c r="U91" s="119" t="s">
        <v>2</v>
      </c>
      <c r="V91" s="98">
        <v>11</v>
      </c>
      <c r="W91" s="514">
        <f t="shared" si="17"/>
        <v>1024</v>
      </c>
      <c r="X91" s="254">
        <v>21</v>
      </c>
      <c r="Y91" s="165"/>
      <c r="Z91" s="520">
        <f>IF(AND(AN55=0,AN61=0,AN67=0,AN73=0,AN85=0,AN79=0),SUM(AC91:AL91),SUM(AC91:AL91)-AN91)</f>
        <v>20</v>
      </c>
      <c r="AA91" s="507">
        <f>IF(AND($B$119="S",OR($E$21="Y",$E$22="Y",$E$23="Y",$E$24="Y",$E$26="Y",$E$27="Y")),0,BI91)</f>
        <v>180</v>
      </c>
      <c r="AB91" s="521">
        <f>IF(AND(AO55=0,AO61=0,AO67=0,AO73=0,AO79=0,AO85=0),AP91,IF(AP91-AO91&lt;0,0,AP91-AO91))</f>
        <v>191</v>
      </c>
      <c r="AC91" s="119">
        <v>8</v>
      </c>
      <c r="AD91" s="91">
        <v>0</v>
      </c>
      <c r="AE91" s="91">
        <v>0</v>
      </c>
      <c r="AF91" s="176">
        <v>2</v>
      </c>
      <c r="AG91" s="119">
        <v>4</v>
      </c>
      <c r="AH91" s="91">
        <v>6</v>
      </c>
      <c r="AI91" s="91">
        <v>0</v>
      </c>
      <c r="AJ91" s="91"/>
      <c r="AK91" s="91"/>
      <c r="AL91" s="385"/>
      <c r="AM91" s="528">
        <f t="shared" si="18"/>
        <v>20</v>
      </c>
      <c r="AN91" s="534">
        <f>IF($B$119="S",IF($E$25="Y",IF($E$24="Y",AC91+AD91+AF91+AG91+AH91+AI91,AC91+AD91+AF91+AG91),0),0)</f>
        <v>0</v>
      </c>
      <c r="AO91" s="535">
        <f t="shared" si="21"/>
        <v>0</v>
      </c>
      <c r="AP91" s="539">
        <f>SUM(AQ91:AY91)</f>
        <v>191</v>
      </c>
      <c r="AQ91" s="119">
        <v>0</v>
      </c>
      <c r="AR91" s="91">
        <v>0</v>
      </c>
      <c r="AS91" s="369">
        <v>88</v>
      </c>
      <c r="AT91" s="369">
        <v>3</v>
      </c>
      <c r="AU91" s="369">
        <v>96</v>
      </c>
      <c r="AV91" s="369"/>
      <c r="AW91" s="369"/>
      <c r="AX91" s="369">
        <v>4</v>
      </c>
      <c r="AY91" s="395"/>
      <c r="AZ91" s="119">
        <v>120</v>
      </c>
      <c r="BA91" s="91">
        <v>20</v>
      </c>
      <c r="BB91" s="91">
        <v>0</v>
      </c>
      <c r="BC91" s="91">
        <v>0</v>
      </c>
      <c r="BD91" s="91">
        <v>40</v>
      </c>
      <c r="BE91" s="91"/>
      <c r="BF91" s="429"/>
      <c r="BG91" s="548">
        <f t="shared" si="19"/>
        <v>1204</v>
      </c>
      <c r="BH91" s="375">
        <v>1024</v>
      </c>
      <c r="BI91" s="548">
        <f t="shared" si="20"/>
        <v>180</v>
      </c>
    </row>
    <row r="92" spans="2:61" ht="17" thickBot="1" x14ac:dyDescent="0.25">
      <c r="I92" s="2"/>
      <c r="J92" s="2"/>
      <c r="L92" s="739" t="s">
        <v>78</v>
      </c>
      <c r="M92" s="740"/>
      <c r="N92" s="134">
        <v>16</v>
      </c>
      <c r="T92" s="576"/>
      <c r="U92" s="125" t="s">
        <v>58</v>
      </c>
      <c r="V92" s="255">
        <f>V91+V90</f>
        <v>18</v>
      </c>
      <c r="W92" s="513">
        <f t="shared" si="17"/>
        <v>2048</v>
      </c>
      <c r="X92" s="256">
        <f>X90+X91</f>
        <v>34</v>
      </c>
      <c r="Y92" s="165"/>
      <c r="Z92" s="522">
        <f>IF(AND(AN56=0,AN62=0,AN68=0,AN74=0,AN86=0,AN80=0),SUM(AC92:AL92),SUM(AC92:AL92)-AN92)</f>
        <v>28</v>
      </c>
      <c r="AA92" s="508">
        <f>IF(AND($B$119="S",OR($E$21="Y",$E$22="Y",$E$23="Y",$E$24="Y",$E$26="Y",$E$27="Y")),0,BI92)</f>
        <v>210</v>
      </c>
      <c r="AB92" s="523">
        <f>IF(AND(AO56=0,AO62=0,AO68=0,AO74=0,AO80=0,AO86=0),AP92,IF(AP92-AO92&lt;0,0,AP92-AO92))</f>
        <v>286</v>
      </c>
      <c r="AC92" s="173">
        <v>8</v>
      </c>
      <c r="AD92" s="174">
        <v>0</v>
      </c>
      <c r="AE92" s="257">
        <f>AE91+AE90</f>
        <v>0</v>
      </c>
      <c r="AF92" s="177">
        <v>2</v>
      </c>
      <c r="AG92" s="258">
        <f>AG90+AG91</f>
        <v>6</v>
      </c>
      <c r="AH92" s="257">
        <f>AH90+AH91</f>
        <v>12</v>
      </c>
      <c r="AI92" s="257">
        <f>AI91+AI90</f>
        <v>0</v>
      </c>
      <c r="AJ92" s="174"/>
      <c r="AK92" s="174"/>
      <c r="AL92" s="386"/>
      <c r="AM92" s="529">
        <f t="shared" si="18"/>
        <v>28</v>
      </c>
      <c r="AN92" s="534">
        <f>IF($B$119="S",IF($E$25="Y",IF($E$24="Y",AC92+AD92+AF92+AG92+AH92+AI92,AC92+AD92+AF92+AG92),0),0)</f>
        <v>0</v>
      </c>
      <c r="AO92" s="535">
        <f t="shared" si="21"/>
        <v>0</v>
      </c>
      <c r="AP92" s="542">
        <f>AP90+AP91</f>
        <v>286</v>
      </c>
      <c r="AQ92" s="253">
        <f>AQ90+AQ91</f>
        <v>0</v>
      </c>
      <c r="AR92" s="91">
        <v>0</v>
      </c>
      <c r="AS92" s="393">
        <f>AS91+AS90</f>
        <v>176</v>
      </c>
      <c r="AT92" s="394" t="s">
        <v>184</v>
      </c>
      <c r="AU92" s="394"/>
      <c r="AV92" s="394"/>
      <c r="AW92" s="394"/>
      <c r="AX92" s="394"/>
      <c r="AY92" s="396"/>
      <c r="AZ92" s="173">
        <f>AZ91</f>
        <v>120</v>
      </c>
      <c r="BA92" s="174">
        <f>BA91</f>
        <v>20</v>
      </c>
      <c r="BB92" s="174">
        <f>BB91</f>
        <v>0</v>
      </c>
      <c r="BC92" s="174">
        <f>BC91+BC90</f>
        <v>0</v>
      </c>
      <c r="BD92" s="174">
        <f>BD91+BD90</f>
        <v>70</v>
      </c>
      <c r="BE92" s="174"/>
      <c r="BF92" s="455"/>
      <c r="BG92" s="549">
        <f t="shared" si="19"/>
        <v>2258</v>
      </c>
      <c r="BH92" s="376">
        <f>BH91+BH90</f>
        <v>2048</v>
      </c>
      <c r="BI92" s="549">
        <f t="shared" si="20"/>
        <v>210</v>
      </c>
    </row>
    <row r="93" spans="2:61" x14ac:dyDescent="0.2">
      <c r="L93" s="741" t="s">
        <v>96</v>
      </c>
      <c r="M93" s="742"/>
      <c r="N93" s="296">
        <f>N91*N92</f>
        <v>16</v>
      </c>
    </row>
    <row r="94" spans="2:61" x14ac:dyDescent="0.2">
      <c r="L94" s="739" t="s">
        <v>97</v>
      </c>
      <c r="M94" s="740"/>
      <c r="N94" s="134">
        <v>256</v>
      </c>
    </row>
    <row r="95" spans="2:61" ht="17" thickBot="1" x14ac:dyDescent="0.25">
      <c r="B95" s="2">
        <v>32</v>
      </c>
      <c r="L95" s="743" t="str">
        <f>IF(B123="N","GPUs","")</f>
        <v>GPUs</v>
      </c>
      <c r="M95" s="744"/>
      <c r="N95" s="136">
        <v>0</v>
      </c>
      <c r="O95" s="297" t="str">
        <f>IF(AND($P$79&gt;0,N95=0,$B$123="N"),"&lt;===== Enter GPUs Per Server","")</f>
        <v/>
      </c>
    </row>
    <row r="96" spans="2:61" x14ac:dyDescent="0.2">
      <c r="B96" s="2">
        <v>64</v>
      </c>
    </row>
    <row r="97" spans="2:15" x14ac:dyDescent="0.2">
      <c r="B97" s="2">
        <v>96</v>
      </c>
      <c r="L97" s="298" t="str">
        <f>IF(B123="Y","MVI Worker Node Configuration","")</f>
        <v/>
      </c>
      <c r="M97" s="219"/>
      <c r="N97" s="219"/>
    </row>
    <row r="98" spans="2:15" x14ac:dyDescent="0.2">
      <c r="B98" s="2">
        <v>128</v>
      </c>
      <c r="L98" s="745" t="str">
        <f>IF(B123="Y","CPU Count","")</f>
        <v/>
      </c>
      <c r="M98" s="745"/>
      <c r="N98" s="221">
        <v>1</v>
      </c>
    </row>
    <row r="99" spans="2:15" x14ac:dyDescent="0.2">
      <c r="B99" s="2">
        <v>256</v>
      </c>
      <c r="L99" s="745" t="str">
        <f>IF(B123="Y","Cores per CPU","")</f>
        <v/>
      </c>
      <c r="M99" s="745"/>
      <c r="N99" s="221">
        <v>16</v>
      </c>
    </row>
    <row r="100" spans="2:15" x14ac:dyDescent="0.2">
      <c r="B100" s="2">
        <v>384</v>
      </c>
      <c r="L100" s="745" t="str">
        <f>IF(B123="Y","VPCs","")</f>
        <v/>
      </c>
      <c r="M100" s="745"/>
      <c r="N100" s="299">
        <f>N98*N99</f>
        <v>16</v>
      </c>
    </row>
    <row r="101" spans="2:15" x14ac:dyDescent="0.2">
      <c r="B101" s="2">
        <v>512</v>
      </c>
      <c r="L101" s="745" t="str">
        <f>IF(B123="Y","Total Memory (GB)","")</f>
        <v/>
      </c>
      <c r="M101" s="745"/>
      <c r="N101" s="221">
        <v>256</v>
      </c>
    </row>
    <row r="102" spans="2:15" x14ac:dyDescent="0.2">
      <c r="B102" s="2">
        <v>768</v>
      </c>
      <c r="L102" s="745" t="str">
        <f>IF(B123="Y","GPUs","")</f>
        <v/>
      </c>
      <c r="M102" s="745"/>
      <c r="N102" s="221">
        <v>4</v>
      </c>
      <c r="O102" s="297" t="str">
        <f>IF(AND($P$79&gt;0,N102=0,$B$123="Y"),"&lt;===== Enter GPUs Per Server","")</f>
        <v/>
      </c>
    </row>
    <row r="103" spans="2:15" x14ac:dyDescent="0.2">
      <c r="B103" s="2">
        <v>1024</v>
      </c>
      <c r="N103" s="220"/>
    </row>
    <row r="105" spans="2:15" x14ac:dyDescent="0.2">
      <c r="B105" s="2">
        <v>0</v>
      </c>
    </row>
    <row r="106" spans="2:15" x14ac:dyDescent="0.2">
      <c r="B106" s="2">
        <v>1</v>
      </c>
    </row>
    <row r="107" spans="2:15" x14ac:dyDescent="0.2">
      <c r="B107" s="2">
        <v>2</v>
      </c>
    </row>
    <row r="108" spans="2:15" x14ac:dyDescent="0.2">
      <c r="B108" s="2">
        <v>4</v>
      </c>
    </row>
    <row r="109" spans="2:15" x14ac:dyDescent="0.2">
      <c r="B109" s="2">
        <v>8</v>
      </c>
    </row>
    <row r="110" spans="2:15" x14ac:dyDescent="0.2">
      <c r="B110" s="2">
        <v>16</v>
      </c>
    </row>
    <row r="112" spans="2:15" x14ac:dyDescent="0.2">
      <c r="B112" s="2" t="s">
        <v>109</v>
      </c>
    </row>
    <row r="113" spans="2:2" x14ac:dyDescent="0.2">
      <c r="B113" s="2" t="s">
        <v>108</v>
      </c>
    </row>
    <row r="115" spans="2:2" x14ac:dyDescent="0.2">
      <c r="B115" s="2" t="s">
        <v>37</v>
      </c>
    </row>
    <row r="116" spans="2:2" x14ac:dyDescent="0.2">
      <c r="B116" s="2" t="s">
        <v>111</v>
      </c>
    </row>
    <row r="117" spans="2:2" x14ac:dyDescent="0.2">
      <c r="B117" s="2" t="s">
        <v>112</v>
      </c>
    </row>
    <row r="119" spans="2:2" x14ac:dyDescent="0.2">
      <c r="B119" s="300" t="str">
        <f>IF(COUNTIF(E21:E28,"Y")&gt;=2,"S","N")</f>
        <v>N</v>
      </c>
    </row>
    <row r="121" spans="2:2" x14ac:dyDescent="0.2">
      <c r="B121" s="300" t="str">
        <f>IF(E16="One for All","O","I")</f>
        <v>I</v>
      </c>
    </row>
    <row r="123" spans="2:2" x14ac:dyDescent="0.2">
      <c r="B123" s="300" t="str">
        <f>IF(AND(COUNTIF(E21:E28,"Y")&gt;1,E26="Y",E17="Y"),"Y","N")</f>
        <v>N</v>
      </c>
    </row>
    <row r="125" spans="2:2" x14ac:dyDescent="0.2">
      <c r="B125" s="2" t="s">
        <v>180</v>
      </c>
    </row>
    <row r="126" spans="2:2" x14ac:dyDescent="0.2">
      <c r="B126" s="2" t="s">
        <v>18</v>
      </c>
    </row>
    <row r="127" spans="2:2" x14ac:dyDescent="0.2">
      <c r="B127" s="301">
        <f>M79-M67</f>
        <v>0</v>
      </c>
    </row>
    <row r="128" spans="2:2" x14ac:dyDescent="0.2">
      <c r="B128" s="2" t="s">
        <v>181</v>
      </c>
    </row>
    <row r="129" spans="2:2" x14ac:dyDescent="0.2">
      <c r="B129" s="301">
        <f>O79-O67</f>
        <v>0</v>
      </c>
    </row>
  </sheetData>
  <sheetProtection algorithmName="SHA-512" hashValue="1iqL16fMTkKz87SRudc9Qet8C1HdVlI/UZ16GjwX+RFcU/Y+jdaCLZDUVPiG0DUoFlqqRsAEx5msIauWyT07DQ==" saltValue="5yG4G3VHFB4Xn1biMw07Eg==" spinCount="100000" sheet="1" objects="1" scenarios="1"/>
  <dataConsolidate/>
  <mergeCells count="85">
    <mergeCell ref="L94:M94"/>
    <mergeCell ref="L95:M95"/>
    <mergeCell ref="L101:M101"/>
    <mergeCell ref="L102:M102"/>
    <mergeCell ref="T87:T89"/>
    <mergeCell ref="T91:T92"/>
    <mergeCell ref="I38:J38"/>
    <mergeCell ref="I51:I86"/>
    <mergeCell ref="J55:J79"/>
    <mergeCell ref="J54:N54"/>
    <mergeCell ref="L84:M84"/>
    <mergeCell ref="J80:J85"/>
    <mergeCell ref="L85:M85"/>
    <mergeCell ref="I87:J87"/>
    <mergeCell ref="K86:Q86"/>
    <mergeCell ref="K87:Q87"/>
    <mergeCell ref="F19:G19"/>
    <mergeCell ref="I36:J36"/>
    <mergeCell ref="A17:D17"/>
    <mergeCell ref="AN42:AY42"/>
    <mergeCell ref="T73:T74"/>
    <mergeCell ref="S29:S31"/>
    <mergeCell ref="AN43:AO43"/>
    <mergeCell ref="U42:X42"/>
    <mergeCell ref="Z42:AB42"/>
    <mergeCell ref="T45:T47"/>
    <mergeCell ref="T49:T50"/>
    <mergeCell ref="T63:T65"/>
    <mergeCell ref="T55:T56"/>
    <mergeCell ref="T61:T62"/>
    <mergeCell ref="T67:T68"/>
    <mergeCell ref="Z43:AB43"/>
    <mergeCell ref="S24:S26"/>
    <mergeCell ref="S27:S28"/>
    <mergeCell ref="S44:S74"/>
    <mergeCell ref="AZ42:BG42"/>
    <mergeCell ref="D2:J2"/>
    <mergeCell ref="D3:J3"/>
    <mergeCell ref="A13:D13"/>
    <mergeCell ref="A14:D14"/>
    <mergeCell ref="A15:D15"/>
    <mergeCell ref="I13:K16"/>
    <mergeCell ref="A16:D16"/>
    <mergeCell ref="G13:H16"/>
    <mergeCell ref="AC42:AF42"/>
    <mergeCell ref="L13:M16"/>
    <mergeCell ref="S4:Y4"/>
    <mergeCell ref="L83:M83"/>
    <mergeCell ref="H19:I19"/>
    <mergeCell ref="K19:K20"/>
    <mergeCell ref="I34:J34"/>
    <mergeCell ref="I35:J35"/>
    <mergeCell ref="T75:T77"/>
    <mergeCell ref="T79:T80"/>
    <mergeCell ref="T81:T83"/>
    <mergeCell ref="T85:T86"/>
    <mergeCell ref="C21:C28"/>
    <mergeCell ref="S33:S34"/>
    <mergeCell ref="S35:S36"/>
    <mergeCell ref="I44:J48"/>
    <mergeCell ref="M46:P48"/>
    <mergeCell ref="K46:L48"/>
    <mergeCell ref="K45:L45"/>
    <mergeCell ref="J51:J53"/>
    <mergeCell ref="L52:P52"/>
    <mergeCell ref="T51:T53"/>
    <mergeCell ref="T57:T59"/>
    <mergeCell ref="T69:T71"/>
    <mergeCell ref="AG42:AL42"/>
    <mergeCell ref="K29:L29"/>
    <mergeCell ref="K32:K33"/>
    <mergeCell ref="I37:J37"/>
    <mergeCell ref="I39:J39"/>
    <mergeCell ref="I40:J40"/>
    <mergeCell ref="I41:J41"/>
    <mergeCell ref="S37:S39"/>
    <mergeCell ref="L98:M98"/>
    <mergeCell ref="L99:M99"/>
    <mergeCell ref="L100:M100"/>
    <mergeCell ref="H33:H41"/>
    <mergeCell ref="L93:M93"/>
    <mergeCell ref="L91:M91"/>
    <mergeCell ref="L92:M92"/>
    <mergeCell ref="L81:M81"/>
    <mergeCell ref="L82:M82"/>
  </mergeCells>
  <conditionalFormatting sqref="K24">
    <cfRule type="expression" dxfId="56" priority="45" stopIfTrue="1">
      <formula>AND($E$24="N",$J$24&gt;0)</formula>
    </cfRule>
    <cfRule type="expression" dxfId="55" priority="93">
      <formula>AND($E$24="Y",OR($E$22="N",$E$23="N"))</formula>
    </cfRule>
  </conditionalFormatting>
  <conditionalFormatting sqref="M23">
    <cfRule type="expression" dxfId="54" priority="81">
      <formula>$M$23="Error"</formula>
    </cfRule>
  </conditionalFormatting>
  <conditionalFormatting sqref="N23">
    <cfRule type="expression" dxfId="53" priority="80">
      <formula>$M$23="Error"</formula>
    </cfRule>
  </conditionalFormatting>
  <conditionalFormatting sqref="O23">
    <cfRule type="expression" dxfId="52" priority="79">
      <formula>$M$23="Error"</formula>
    </cfRule>
  </conditionalFormatting>
  <conditionalFormatting sqref="M36">
    <cfRule type="expression" dxfId="51" priority="78">
      <formula>$M$23="Error"</formula>
    </cfRule>
  </conditionalFormatting>
  <conditionalFormatting sqref="N36">
    <cfRule type="expression" dxfId="50" priority="77">
      <formula>$M$23="Error"</formula>
    </cfRule>
  </conditionalFormatting>
  <conditionalFormatting sqref="O36">
    <cfRule type="expression" dxfId="49" priority="76">
      <formula>$M$23="Error"</formula>
    </cfRule>
  </conditionalFormatting>
  <conditionalFormatting sqref="M25">
    <cfRule type="expression" dxfId="48" priority="75">
      <formula>$M$25="Error"</formula>
    </cfRule>
  </conditionalFormatting>
  <conditionalFormatting sqref="N24">
    <cfRule type="expression" dxfId="47" priority="74">
      <formula>$N$24="Error"</formula>
    </cfRule>
  </conditionalFormatting>
  <conditionalFormatting sqref="O24">
    <cfRule type="expression" dxfId="46" priority="73">
      <formula>$O$24="Error"</formula>
    </cfRule>
  </conditionalFormatting>
  <conditionalFormatting sqref="M37:M38">
    <cfRule type="expression" dxfId="45" priority="72">
      <formula>$M$24="Error"</formula>
    </cfRule>
  </conditionalFormatting>
  <conditionalFormatting sqref="N37:N38">
    <cfRule type="expression" dxfId="44" priority="71">
      <formula>$M$24="Error"</formula>
    </cfRule>
  </conditionalFormatting>
  <conditionalFormatting sqref="O37:O38">
    <cfRule type="expression" dxfId="43" priority="70">
      <formula>$M$24="Error"</formula>
    </cfRule>
  </conditionalFormatting>
  <conditionalFormatting sqref="K21">
    <cfRule type="expression" dxfId="42" priority="49">
      <formula>AND($E$21="N",$J$21&gt;0)</formula>
    </cfRule>
  </conditionalFormatting>
  <conditionalFormatting sqref="K22">
    <cfRule type="expression" dxfId="41" priority="47">
      <formula>AND($E$22="N",$J$22&gt;0)</formula>
    </cfRule>
  </conditionalFormatting>
  <conditionalFormatting sqref="K26">
    <cfRule type="expression" dxfId="40" priority="43">
      <formula>AND($E$26="N",$J$26&gt;0)</formula>
    </cfRule>
  </conditionalFormatting>
  <conditionalFormatting sqref="L97:N97">
    <cfRule type="expression" dxfId="39" priority="34">
      <formula>$B$123="Y"</formula>
    </cfRule>
  </conditionalFormatting>
  <conditionalFormatting sqref="L100 N100">
    <cfRule type="expression" dxfId="38" priority="32">
      <formula>$B$123="Y"</formula>
    </cfRule>
  </conditionalFormatting>
  <conditionalFormatting sqref="N98:N99 N101:N102">
    <cfRule type="expression" dxfId="37" priority="31">
      <formula>$B$123="Y"</formula>
    </cfRule>
  </conditionalFormatting>
  <conditionalFormatting sqref="L98:M102">
    <cfRule type="expression" dxfId="36" priority="30">
      <formula>$B$123="Y"</formula>
    </cfRule>
  </conditionalFormatting>
  <conditionalFormatting sqref="K84">
    <cfRule type="expression" dxfId="35" priority="29">
      <formula>$B$123="Y"</formula>
    </cfRule>
  </conditionalFormatting>
  <conditionalFormatting sqref="L84:M84">
    <cfRule type="expression" dxfId="34" priority="1">
      <formula>$B$123="Y"</formula>
    </cfRule>
  </conditionalFormatting>
  <conditionalFormatting sqref="O84:Q84">
    <cfRule type="expression" dxfId="33" priority="27">
      <formula>$B$123="Y"</formula>
    </cfRule>
  </conditionalFormatting>
  <conditionalFormatting sqref="N95">
    <cfRule type="expression" dxfId="32" priority="26">
      <formula>B123="Y"</formula>
    </cfRule>
  </conditionalFormatting>
  <conditionalFormatting sqref="Q83">
    <cfRule type="expression" dxfId="31" priority="25">
      <formula>AND($P$79&gt;0,$N$95=0,$B$123="N")</formula>
    </cfRule>
  </conditionalFormatting>
  <conditionalFormatting sqref="Q84">
    <cfRule type="expression" dxfId="30" priority="24">
      <formula>AND($B$123="Y",$N$102=0)</formula>
    </cfRule>
  </conditionalFormatting>
  <conditionalFormatting sqref="K23">
    <cfRule type="expression" dxfId="29" priority="94" stopIfTrue="1">
      <formula>AND($E$23="N",$J$23&gt;0)</formula>
    </cfRule>
    <cfRule type="expression" dxfId="28" priority="95" stopIfTrue="1">
      <formula>AND(#REF!="W/Monitor",$E$22="N",$E$23="Y")</formula>
    </cfRule>
    <cfRule type="expression" dxfId="27" priority="96">
      <formula>AND(#REF!="W/Manage",$E$21="N",$E$23="Y")</formula>
    </cfRule>
  </conditionalFormatting>
  <conditionalFormatting sqref="K78:P78">
    <cfRule type="expression" dxfId="26" priority="99">
      <formula>$E$16="One for All"</formula>
    </cfRule>
  </conditionalFormatting>
  <conditionalFormatting sqref="J21">
    <cfRule type="expression" dxfId="25" priority="105" stopIfTrue="1">
      <formula>$J$21&gt;0</formula>
    </cfRule>
    <cfRule type="expression" dxfId="24" priority="106">
      <formula>$E$16="One for All"</formula>
    </cfRule>
  </conditionalFormatting>
  <conditionalFormatting sqref="J22">
    <cfRule type="expression" dxfId="23" priority="107" stopIfTrue="1">
      <formula>$J$22&gt;0</formula>
    </cfRule>
    <cfRule type="expression" dxfId="22" priority="108">
      <formula>$E$16="One for All"</formula>
    </cfRule>
  </conditionalFormatting>
  <conditionalFormatting sqref="J23">
    <cfRule type="expression" dxfId="21" priority="109" stopIfTrue="1">
      <formula>$J$23&gt;0</formula>
    </cfRule>
    <cfRule type="expression" dxfId="20" priority="110">
      <formula>$E$16="One for All"</formula>
    </cfRule>
  </conditionalFormatting>
  <conditionalFormatting sqref="J26">
    <cfRule type="expression" dxfId="19" priority="113" stopIfTrue="1">
      <formula>$J$26&gt;0</formula>
    </cfRule>
    <cfRule type="expression" dxfId="18" priority="114">
      <formula>$E$16="One for All"</formula>
    </cfRule>
  </conditionalFormatting>
  <conditionalFormatting sqref="K28">
    <cfRule type="expression" dxfId="17" priority="21">
      <formula>AND($E$28="N",$J$28&gt;0)</formula>
    </cfRule>
  </conditionalFormatting>
  <conditionalFormatting sqref="J28">
    <cfRule type="expression" dxfId="16" priority="22" stopIfTrue="1">
      <formula>$J$22&gt;0</formula>
    </cfRule>
    <cfRule type="expression" dxfId="15" priority="23">
      <formula>$E$16="One for All"</formula>
    </cfRule>
  </conditionalFormatting>
  <conditionalFormatting sqref="J27">
    <cfRule type="expression" dxfId="14" priority="19" stopIfTrue="1">
      <formula>$J$22&gt;0</formula>
    </cfRule>
    <cfRule type="expression" dxfId="13" priority="20">
      <formula>$E$16="One for All"</formula>
    </cfRule>
  </conditionalFormatting>
  <conditionalFormatting sqref="K27">
    <cfRule type="expression" dxfId="12" priority="18">
      <formula>AND($E$27="N",$J$27&gt;0)</formula>
    </cfRule>
  </conditionalFormatting>
  <conditionalFormatting sqref="K78">
    <cfRule type="expression" dxfId="11" priority="17">
      <formula>$E$16="One for All"</formula>
    </cfRule>
  </conditionalFormatting>
  <conditionalFormatting sqref="K25">
    <cfRule type="expression" dxfId="10" priority="11">
      <formula>AND($E$25="N",$J$25&gt;0)</formula>
    </cfRule>
    <cfRule type="expression" dxfId="9" priority="12">
      <formula>AND($E$25="Y",$E$23="N")</formula>
    </cfRule>
  </conditionalFormatting>
  <conditionalFormatting sqref="K37:K38">
    <cfRule type="expression" dxfId="8" priority="7">
      <formula>$M$37="Error"</formula>
    </cfRule>
  </conditionalFormatting>
  <conditionalFormatting sqref="M24">
    <cfRule type="expression" dxfId="7" priority="6">
      <formula>$M$24="Error"</formula>
    </cfRule>
  </conditionalFormatting>
  <conditionalFormatting sqref="N25">
    <cfRule type="expression" dxfId="6" priority="5">
      <formula>$N$25="Error"</formula>
    </cfRule>
  </conditionalFormatting>
  <conditionalFormatting sqref="O25">
    <cfRule type="expression" dxfId="5" priority="4">
      <formula>$O$25="Error"</formula>
    </cfRule>
  </conditionalFormatting>
  <conditionalFormatting sqref="J24">
    <cfRule type="expression" dxfId="4" priority="111" stopIfTrue="1">
      <formula>$J$24&gt;0</formula>
    </cfRule>
    <cfRule type="expression" dxfId="3" priority="112">
      <formula>$E$16="One for All"</formula>
    </cfRule>
  </conditionalFormatting>
  <conditionalFormatting sqref="J25">
    <cfRule type="expression" dxfId="2" priority="2" stopIfTrue="1">
      <formula>$J$25&gt;0</formula>
    </cfRule>
    <cfRule type="expression" dxfId="1" priority="3">
      <formula>$E$16="One for All"</formula>
    </cfRule>
  </conditionalFormatting>
  <conditionalFormatting sqref="N84">
    <cfRule type="expression" dxfId="0" priority="28">
      <formula>$B$123="Y"</formula>
    </cfRule>
  </conditionalFormatting>
  <dataValidations xWindow="383" yWindow="435" count="24">
    <dataValidation type="list" allowBlank="1" showInputMessage="1" showErrorMessage="1" promptTitle="MAS Application Enable" sqref="E21:E25" xr:uid="{C60208C9-EA4C-CC4A-BDD4-C1A6A6D4A689}">
      <formula1>$B$79:$B$80</formula1>
    </dataValidation>
    <dataValidation type="whole" operator="greaterThanOrEqual" allowBlank="1" showInputMessage="1" showErrorMessage="1" errorTitle="Invalid input" error="Must be an integer " promptTitle="Input estimated usage" prompt="Input application usage metric according to the size driver, this will select the appropriate t-shirt environment size " sqref="I21" xr:uid="{9545949C-1A70-7342-B328-6E89B305184F}">
      <formula1>0</formula1>
    </dataValidation>
    <dataValidation type="whole" operator="greaterThanOrEqual" allowBlank="1" showInputMessage="1" showErrorMessage="1" errorTitle="Invalid Input" error="Must be an integer " promptTitle="Individual Non-Prod Environments" prompt="How many individual non production environments are required?  This adds required VPC + Memory + GB data as well as increases the base, prereq, misc capacity unit metric." sqref="J21:J25 J27:J28" xr:uid="{7D43E61E-9D95-DB42-A7C0-29A69E494598}">
      <formula1>0</formula1>
    </dataValidation>
    <dataValidation type="list" allowBlank="1" showInputMessage="1" showErrorMessage="1" sqref="E26:E28" xr:uid="{9E0F55A0-5530-5549-B83B-DCF471B17078}">
      <formula1>$B$79:$B$80</formula1>
    </dataValidation>
    <dataValidation allowBlank="1" showInputMessage="1" showErrorMessage="1" promptTitle="Individual Non-Prod Environments" prompt="How many individual non production environments are required?  This adds required VPC + Memory + GB data as well as increases the base, prereq, misc capacity unit metric." sqref="J26" xr:uid="{9DDF78A0-D48C-1243-B38C-94DD883F229C}"/>
    <dataValidation type="whole" operator="greaterThanOrEqual" allowBlank="1" showInputMessage="1" showErrorMessage="1" errorTitle="Invalid input" error="Must be an integer " promptTitle="Estimated Concurrent Users" prompt="Input the estimated number of concurrent users for Manage.  This determines the t-shirt size and subsequent resource requirements." sqref="G21" xr:uid="{C5D37DDF-9B6A-A741-A279-E55FBF11E27F}">
      <formula1>0</formula1>
    </dataValidation>
    <dataValidation type="whole" operator="greaterThanOrEqual" allowBlank="1" showInputMessage="1" showErrorMessage="1" errorTitle="Invalid input" error="Must be an integer " promptTitle="Estimated I/O Points" prompt="Input estimated number of I/O Points for Monitor.  This is the primary metric for determining t-shirt sizing and subsequent resource requirements._x000a__x000a_If secondary metric (Users) is also entered, t-shirt size will be the larger of the two resulting metrics." sqref="G22" xr:uid="{4E97058D-5B84-5941-A72A-03ABE86A233B}">
      <formula1>0</formula1>
    </dataValidation>
    <dataValidation type="whole" operator="greaterThanOrEqual" allowBlank="1" showInputMessage="1" showErrorMessage="1" errorTitle="Invalid input" error="Must be an integer " promptTitle="Estimated Concurrent Users" prompt="Input estimated number of concurrent users for Health. This is the primary metric for determining t-shirt sizing &amp; subsequent resource requirements._x000a__x000a_If secondary metric (assets) is also entered, t-shirt size is the larger of the two resulting metrics." sqref="G23" xr:uid="{CF0D8FFA-832C-F643-A97A-412ECDFBE782}">
      <formula1>0</formula1>
    </dataValidation>
    <dataValidation type="whole" operator="greaterThanOrEqual" allowBlank="1" showInputMessage="1" showErrorMessage="1" errorTitle="Invalid input" error="Must be an integer " promptTitle="Estimated I/O Points" prompt="Calculated from &quot;Predict I/O Points&quot; Tab. This is the primary metric for determining t-shirt sizing and subsequent resource requirements._x000a__x000a_If secondary metric is also entered, t-shirt size will be the larger of the two resulting metrics." sqref="G24" xr:uid="{3ABB6E57-58FF-9047-9830-F2B2C2F8972D}">
      <formula1>0</formula1>
    </dataValidation>
    <dataValidation allowBlank="1" showInputMessage="1" showErrorMessage="1" promptTitle="Estimated Concurrent Users" prompt="Input the estimated number of concurrent users for MVI.  This determines the t-shirt size and subsequent resource requirements." sqref="G26" xr:uid="{F4699D72-9F06-424F-AF64-2C9D200A2B6F}"/>
    <dataValidation type="whole" operator="greaterThanOrEqual" allowBlank="1" showInputMessage="1" showErrorMessage="1" errorTitle="Invalid input" error="Must be an integer " promptTitle="Estimated Concurrent Users" prompt="*Optional*  Input estimated number of concurrent users for Monitor. Secondary metric for determining t-shirt sizing and subsequent resource requirements._x000a__x000a_If primary metric is also entered, the t-shirt size will be the larger of the two resulting metrics." sqref="I22" xr:uid="{A5531491-F4B6-B14F-AD51-76290E0437C3}">
      <formula1>0</formula1>
    </dataValidation>
    <dataValidation type="whole" operator="greaterThanOrEqual" allowBlank="1" showInputMessage="1" showErrorMessage="1" errorTitle="Invalid input" error="Must be an integer " promptTitle="Estimated Number of Assets" prompt="*Optional* - Input estimated number of Assets for Health.  This is the secondary metric for determining t-shirt sizing and subsequent resource requirements._x000a__x000a_If primary metric is also entered, t-shirt size will be the larger of the two resulting metrics." sqref="I23" xr:uid="{D1FC4DB1-DC80-0D40-88DA-1AF2F95EE944}">
      <formula1>0</formula1>
    </dataValidation>
    <dataValidation type="whole" operator="greaterThanOrEqual" allowBlank="1" showInputMessage="1" showErrorMessage="1" errorTitle="Invalid input" error="Must be an integer " sqref="I24:I25" xr:uid="{6D3927A9-10D3-1D4F-8633-AB538DB83C4B}">
      <formula1>0</formula1>
    </dataValidation>
    <dataValidation type="custom" allowBlank="1" showInputMessage="1" showErrorMessage="1" errorTitle="Must be at least 32GB" error="Maximo Worker Nodes require at least 32GB of memory per server." sqref="N94" xr:uid="{689A0AA7-FF0C-4B4A-BAA0-982F351B84E1}">
      <formula1>N94&gt;=32</formula1>
    </dataValidation>
    <dataValidation type="list" allowBlank="1" showInputMessage="1" showErrorMessage="1" promptTitle="OpenShift Configuration" prompt="If YES, a minimum of 3 servers are required for OpenShift Master nodes &amp; 2 servers are required for OpenShift worker nodes.  If NO, Master nodes are configured for 3 VMs on a single server, &amp; worker nodes are configured for 2 VMs on a single server." sqref="E13" xr:uid="{0CD782EF-E22D-E54B-BCCF-7B72BCFDD164}">
      <formula1>$B$79:$B$80</formula1>
    </dataValidation>
    <dataValidation type="list" allowBlank="1" showInputMessage="1" showErrorMessage="1" promptTitle="Existing OpenShift Deployment?" prompt="If YES, Control Plane Nodes are not required and set to zero.  The 2 node minimum requirement for OpenShift worker nodes is also not required.  It does NOT change the calculations for required VPCs, Memory, Storage, or GPUs of the selected configuration. " sqref="E14" xr:uid="{451A54F6-B6AD-1442-BE82-36583233FD2F}">
      <formula1>$B$79:$B$80</formula1>
    </dataValidation>
    <dataValidation type="list" allowBlank="1" showInputMessage="1" showErrorMessage="1" promptTitle="Dev Environmennt Configuration" prompt="Selecting &quot;Individual&quot; allows for 1 or more independent dev environments to be created for each offering.  Selecting &quot;One for All&quot; will calculate 1 dev environment for each offering selected &amp; will use the largest offering database versus the sum of all." sqref="E16" xr:uid="{FC99AF06-AAD7-2746-8D34-5237659A9313}">
      <formula1>$B$112:$B$113</formula1>
    </dataValidation>
    <dataValidation type="list" allowBlank="1" showInputMessage="1" showErrorMessage="1" promptTitle="Isolate MVI GPU Nodes?" prompt=" If YES, GPU nodes will be calculated separately from Worker Node calculations._x000a_If NO, then GPU nodes will be included in the Worker Node calculations. " sqref="E17" xr:uid="{EC72E13F-B69E-204A-BB92-A88B60F74708}">
      <formula1>$B$79:$B$80</formula1>
    </dataValidation>
    <dataValidation type="custom" allowBlank="1" showInputMessage="1" showErrorMessage="1" errorTitle="Must be at least 64GB" error="Maximo Visual Inspection requires at least 64GB of memory per server." sqref="N101" xr:uid="{8071DA28-5C9E-6849-85BB-F8F1499F8984}">
      <formula1>N101&gt;=64</formula1>
    </dataValidation>
    <dataValidation type="list" allowBlank="1" showInputMessage="1" showErrorMessage="1" promptTitle="Existing Database?" prompt="If YES, DB2 and CP4D requirements will not be included in the calculations for Manage, Monitor, and Health.  If NO, both DB2 &amp; CP4D requirements will be included in the calculations." sqref="E15" xr:uid="{00D3C6B9-1D0E-43A6-B093-AF0A6B4E3EF5}">
      <formula1>$B$79:$B$80</formula1>
    </dataValidation>
    <dataValidation type="whole" operator="greaterThanOrEqual" allowBlank="1" showInputMessage="1" showErrorMessage="1" errorTitle="Invalid input" error="Must be an integer " promptTitle="Workers Monitored" prompt="Input estimated number of Monitored Workers for Safety.  This is the primary metric for determining t-shirt size &amp; subsequent resource requirements._x000a__x000a_If secondary metric (I/O Points) is also entered, t-shirt size is the larger of the two resulting metrics" sqref="G28" xr:uid="{D185307C-C3A1-6540-9DB1-B2962AC0D8D9}">
      <formula1>0</formula1>
    </dataValidation>
    <dataValidation type="whole" operator="greaterThanOrEqual" allowBlank="1" showInputMessage="1" showErrorMessage="1" errorTitle="Invalid input" error="Must be an integer " promptTitle="Estimated Concurrent Users" prompt="Input estimated number of concurrent users for Assist. This is the primary metric for determining t-shirt sizing &amp; subsequent resource requirements._x000a__x000a_If secondary metric (Documents) is also entered, t-shirt size is the larger of the two resulting metrics." sqref="G27" xr:uid="{810C0A04-0FD0-F443-833C-12476534039D}">
      <formula1>0</formula1>
    </dataValidation>
    <dataValidation type="whole" operator="greaterThanOrEqual" allowBlank="1" showInputMessage="1" showErrorMessage="1" errorTitle="Invalid input" error="Must be an integer " promptTitle="Estimated Concurrent Users" prompt="*Optional*  Input estimated number of I/O Points for Safety. Secondary metric for determining t-shirt sizing and subsequent resource requirements._x000a__x000a_If primary metric is also entered, the t-shirt size will be the larger of the two resulting metrics." sqref="I28" xr:uid="{E08FFAC7-68A9-5B48-B9AD-DE2B26B04C22}">
      <formula1>0</formula1>
    </dataValidation>
    <dataValidation type="whole" operator="greaterThanOrEqual" allowBlank="1" showInputMessage="1" showErrorMessage="1" errorTitle="Invalid input" error="Must be an integer " promptTitle="Estimated Asset Classes" prompt="Enter the esitmated number of Asset Classes.  This determines the t-shirt size and subsequent resource requirements." sqref="G25" xr:uid="{F6EBC432-F8E8-B248-B82E-A7A7DFD70616}">
      <formula1>0</formula1>
    </dataValidation>
  </dataValidations>
  <pageMargins left="0.25" right="0.25" top="0.75" bottom="0.75" header="0.3" footer="0.3"/>
  <pageSetup scale="72" orientation="portrait" horizontalDpi="4294967293" verticalDpi="0" r:id="rId1"/>
  <ignoredErrors>
    <ignoredError sqref="AP50 AP56 AP62 AP68 W50 BG80 N66 N64 N62 N60 N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30029-B46E-F947-A45C-07D7EC32CA30}">
  <sheetPr>
    <pageSetUpPr fitToPage="1"/>
  </sheetPr>
  <dimension ref="A1:J44"/>
  <sheetViews>
    <sheetView topLeftCell="A26" zoomScaleNormal="100" workbookViewId="0">
      <selection activeCell="F48" sqref="F48"/>
    </sheetView>
  </sheetViews>
  <sheetFormatPr baseColWidth="10" defaultColWidth="11" defaultRowHeight="16" x14ac:dyDescent="0.2"/>
  <cols>
    <col min="1" max="1" width="18.33203125" customWidth="1"/>
    <col min="2" max="5" width="10.6640625" customWidth="1"/>
    <col min="6" max="6" width="13" customWidth="1"/>
    <col min="7" max="7" width="15" customWidth="1"/>
    <col min="8" max="10" width="10.6640625" customWidth="1"/>
  </cols>
  <sheetData>
    <row r="1" spans="1:10" x14ac:dyDescent="0.2">
      <c r="A1" s="681" t="s">
        <v>179</v>
      </c>
      <c r="B1" s="682"/>
      <c r="C1" s="682"/>
      <c r="D1" s="682"/>
      <c r="E1" s="682"/>
      <c r="F1" s="682"/>
      <c r="G1" s="682"/>
      <c r="H1" s="682"/>
      <c r="I1" s="682"/>
      <c r="J1" s="683"/>
    </row>
    <row r="2" spans="1:10" ht="16" customHeight="1" thickBot="1" x14ac:dyDescent="0.25">
      <c r="A2" s="684"/>
      <c r="B2" s="685"/>
      <c r="C2" s="685"/>
      <c r="D2" s="685"/>
      <c r="E2" s="685"/>
      <c r="F2" s="685"/>
      <c r="G2" s="685"/>
      <c r="H2" s="685"/>
      <c r="I2" s="685"/>
      <c r="J2" s="686"/>
    </row>
    <row r="3" spans="1:10" ht="12" customHeight="1" thickBot="1" x14ac:dyDescent="0.25"/>
    <row r="4" spans="1:10" ht="17" thickBot="1" x14ac:dyDescent="0.25">
      <c r="B4" s="302" t="str">
        <f>IF('V7 Calculator'!$K$21="None","",'V7 Calculator'!$K$21)</f>
        <v/>
      </c>
      <c r="C4" s="303" t="str">
        <f>IF('V7 Calculator'!$K$22="None","",'V7 Calculator'!$K$22)</f>
        <v/>
      </c>
      <c r="D4" s="303" t="str">
        <f>IF('V7 Calculator'!$K$23="None","",'V7 Calculator'!$K$23)</f>
        <v/>
      </c>
      <c r="E4" s="303" t="str">
        <f>IF('V7 Calculator'!$K$24="None","",'V7 Calculator'!$K$24)</f>
        <v/>
      </c>
      <c r="F4" s="303" t="str">
        <f>IF('V7 Calculator'!$K$25="None","",'V7 Calculator'!$K$25)</f>
        <v/>
      </c>
      <c r="G4" s="303" t="str">
        <f>IF('V7 Calculator'!$K$26="None","",'V7 Calculator'!$K$26)</f>
        <v/>
      </c>
      <c r="H4" s="303" t="str">
        <f>IF('V7 Calculator'!$K$27="None","",'V7 Calculator'!$K$27)</f>
        <v/>
      </c>
      <c r="I4" s="303" t="str">
        <f>IF('V7 Calculator'!$K$28="None","",'V7 Calculator'!$K$28)</f>
        <v/>
      </c>
    </row>
    <row r="5" spans="1:10" ht="20" thickBot="1" x14ac:dyDescent="0.3">
      <c r="A5" s="215" t="s">
        <v>96</v>
      </c>
      <c r="B5" s="304" t="str">
        <f>'V7 Calculator'!S23</f>
        <v>Manage</v>
      </c>
      <c r="C5" s="304" t="str">
        <f>'V7 Calculator'!S24</f>
        <v>Monitor</v>
      </c>
      <c r="D5" s="304" t="str">
        <f>'V7 Calculator'!S27</f>
        <v>Health</v>
      </c>
      <c r="E5" s="304" t="str">
        <f>'V7 Calculator'!S29</f>
        <v>Predict</v>
      </c>
      <c r="F5" s="304" t="s">
        <v>241</v>
      </c>
      <c r="G5" s="304" t="str">
        <f>'V7 Calculator'!S32</f>
        <v>Visual Inspection</v>
      </c>
      <c r="H5" s="304" t="str">
        <f>'V7 Calculator'!S33</f>
        <v>Assist</v>
      </c>
      <c r="I5" s="304" t="str">
        <f>'V7 Calculator'!S35</f>
        <v>Safety</v>
      </c>
      <c r="J5" s="213" t="s">
        <v>173</v>
      </c>
    </row>
    <row r="6" spans="1:10" ht="17" thickBot="1" x14ac:dyDescent="0.25">
      <c r="A6" s="211" t="s">
        <v>172</v>
      </c>
      <c r="B6" s="305">
        <f>'V7 Calculator'!M21</f>
        <v>0</v>
      </c>
      <c r="C6" s="306">
        <f>'V7 Calculator'!M22</f>
        <v>0</v>
      </c>
      <c r="D6" s="307">
        <f>'V7 Calculator'!M23</f>
        <v>0</v>
      </c>
      <c r="E6" s="308">
        <f>'V7 Calculator'!M24</f>
        <v>0</v>
      </c>
      <c r="F6" s="308">
        <f>'V7 Calculator'!M25</f>
        <v>0</v>
      </c>
      <c r="G6" s="308">
        <f>'V7 Calculator'!M26</f>
        <v>0</v>
      </c>
      <c r="H6" s="457">
        <f>'V7 Calculator'!M27</f>
        <v>0</v>
      </c>
      <c r="I6" s="309">
        <f>'V7 Calculator'!M28</f>
        <v>0</v>
      </c>
      <c r="J6" s="310">
        <f>SUM(B6:I6)</f>
        <v>0</v>
      </c>
    </row>
    <row r="7" spans="1:10" ht="17" thickBot="1" x14ac:dyDescent="0.25">
      <c r="A7" s="211" t="s">
        <v>148</v>
      </c>
      <c r="B7" s="305">
        <f>SUM(B8:B11)</f>
        <v>0</v>
      </c>
      <c r="C7" s="306">
        <f t="shared" ref="C7:I7" si="0">SUM(C8:C11)</f>
        <v>0</v>
      </c>
      <c r="D7" s="307">
        <f t="shared" si="0"/>
        <v>0</v>
      </c>
      <c r="E7" s="308">
        <f t="shared" si="0"/>
        <v>0</v>
      </c>
      <c r="F7" s="308">
        <f t="shared" si="0"/>
        <v>0</v>
      </c>
      <c r="G7" s="308">
        <f t="shared" si="0"/>
        <v>0</v>
      </c>
      <c r="H7" s="457">
        <f t="shared" si="0"/>
        <v>0</v>
      </c>
      <c r="I7" s="309">
        <f t="shared" si="0"/>
        <v>0</v>
      </c>
      <c r="J7" s="310">
        <f>SUM(B7:I7)</f>
        <v>0</v>
      </c>
    </row>
    <row r="8" spans="1:10" x14ac:dyDescent="0.2">
      <c r="A8" s="336" t="str">
        <f>"   -"&amp;'V7 Calculator'!AC43&amp;" "&amp;'V7 Calculator'!AC44</f>
        <v xml:space="preserve">   -OpenShift Worker</v>
      </c>
      <c r="B8" s="473">
        <f>IF(B6=0,0,IF(B4="Xsmall/Min",'V7 Calculator'!AC$46,IF(B4="Small",'V7 Calculator'!AC$47,IF(B4="Medium",'V7 Calculator'!AC$48,IF(B4="Large",'V7 Calculator'!AC$49,'V7 Calculator'!AC50)))))</f>
        <v>0</v>
      </c>
      <c r="C8" s="474">
        <f>IF(B8&gt;0,0,IF(C6=0,0,IF(C$4="XSmall/Min",'V7 Calculator'!$AC$52,IF(C$4="Small",'V7 Calculator'!$AC$53,IF(C$4="Medium",'V7 Calculator'!$AC$54,IF(C$4="Large",'V7 Calculator'!$AC$55,'V7 Calculator'!AC$56))))))</f>
        <v>0</v>
      </c>
      <c r="D8" s="475">
        <f>IF(OR(B8&gt;0,C8&gt;0),0,IF(D6=0,0,IF(D$4="Xsmall/Min",'V7 Calculator'!$AC$58,IF(D$4="Small",'V7 Calculator'!$AC$59,IF(D$4="Medium",'V7 Calculator'!$AC$60,IF(D$4="Large",'V7 Calculator'!$AC$61,'V7 Calculator'!AC$62))))))</f>
        <v>0</v>
      </c>
      <c r="E8" s="476">
        <f>IF(OR(B8&gt;0,C8&gt;0,D8&gt;0),0,IF(E6=0,0,IF(E$4="Xsmall/Min",'V7 Calculator'!$AC$64,IF(E$4="Small",'V7 Calculator'!$AC$65,IF(E$4="Medium",'V7 Calculator'!$AC$66,IF(E$4="Large",'V7 Calculator'!$AC$67,'V7 Calculator'!AC$68))))))</f>
        <v>0</v>
      </c>
      <c r="F8" s="476">
        <f>IF(OR(B8&gt;0,C8&gt;0,D8&gt;0,E8&gt;0),0,IF(F6=0,0,IF(F$4="Xsmall/Min",'V7 Calculator'!$AC$88,IF(F$4="Small",'V7 Calculator'!$AC$89,IF(F$4="Medium",'V7 Calculator'!$AC$90,IF(F$4="Large",'V7 Calculator'!$AC$91,'V7 Calculator'!AC$92))))))</f>
        <v>0</v>
      </c>
      <c r="G8" s="476">
        <f>IF(OR(B8&gt;0,C8&gt;0,D8&gt;0,E8&gt;0,F8&gt;0),0,IF(G6=0,0,IF(G$4="Xsmall/Min",'V7 Calculator'!$AC$70,IF(G$4="Small",'V7 Calculator'!$AC$71,IF(G$4="Medium",'V7 Calculator'!$AC$72,IF(G$4="Large",'V7 Calculator'!$AC$73,'V7 Calculator'!AC$74))))))</f>
        <v>0</v>
      </c>
      <c r="H8" s="476">
        <f>IF(OR(B8&gt;0,C8&gt;0,D8&gt;0,E8&gt;0,F8&gt;0,G8&gt;0),0,IF(H6=0,0,IF(H$4="Xsmall/Min",'V7 Calculator'!$AC$76,IF(H$4="Small",'V7 Calculator'!$AC$77,IF(H$4="Medium",'V7 Calculator'!$AC$78,IF(H$4="Large",'V7 Calculator'!$AC$79,'V7 Calculator'!AC$80))))))</f>
        <v>0</v>
      </c>
      <c r="I8" s="477">
        <f>IF(OR(B8&gt;0,C8&gt;0,D8&gt;0,E8&gt;0,F8&gt;0,G8&gt;0,H8&gt;0),0,IF(I6=0,0,IF(I$4="Xsmall/Min",'V7 Calculator'!$AC$82,IF(I$4="Small",'V7 Calculator'!$AC$83,IF(I$4="Medium",'V7 Calculator'!$AC$84,IF(I$4="Large",'V7 Calculator'!$AC$85,'V7 Calculator'!AD$86))))))</f>
        <v>0</v>
      </c>
      <c r="J8" s="315">
        <f>SUM(B8:I8)</f>
        <v>0</v>
      </c>
    </row>
    <row r="9" spans="1:10" x14ac:dyDescent="0.2">
      <c r="A9" s="336" t="str">
        <f>"   -"&amp;'V7 Calculator'!AD43&amp;" "&amp;'V7 Calculator'!AD44</f>
        <v xml:space="preserve">   -ICP4D Base</v>
      </c>
      <c r="B9" s="311">
        <f>IF(OR(B6=0,'V7 Calculator'!$E$15="Y"),0,IF(B$4="Xsmall/Min",'V7 Calculator'!AD$46,IF(B$4="Small",'V7 Calculator'!AD$47,IF(B$4="Medium",'V7 Calculator'!AD$48,IF(B$4="Large",'V7 Calculator'!AD$49,'V7 Calculator'!$AD$50)))))</f>
        <v>0</v>
      </c>
      <c r="C9" s="312">
        <f>IF(OR(B9&gt;0,'V7 Calculator'!$E$15="Y"),0,IF(C6=0,0,IF(C$4="Xsmall/Min",'V7 Calculator'!$AD$52,IF(C$4="Small",'V7 Calculator'!$AD$53,IF(C$4="Medium",'V7 Calculator'!$AD$54,IF(C$4="Large",'V7 Calculator'!$AD$55,'V7 Calculator'!$AD$56))))))</f>
        <v>0</v>
      </c>
      <c r="D9" s="313">
        <f>IF(OR(B9&gt;0,C9&gt;0,'V7 Calculator'!$E$15="Y"),0,IF(D6=0,0,IF(D$4="Xsmall/Min",'V7 Calculator'!$AD$58,IF(D$4="Small",'V7 Calculator'!$AD$59,IF(D$4="Medium",'V7 Calculator'!$AD$60,IF(D$4="Large",'V7 Calculator'!$AD$61,'V7 Calculator'!$AD$62))))))</f>
        <v>0</v>
      </c>
      <c r="E9" s="314">
        <f>IF(OR(B9&gt;0,C9&gt;0,D9&gt;0),0,IF(E6=0,0,IF(E$4="Xsmall/Min",'V7 Calculator'!$AD$64,IF(E$4="Small",'V7 Calculator'!$AD$65,IF(E$4="Medium",'V7 Calculator'!$AD$66,IF(E$4="Large",'V7 Calculator'!$AD$67,'V7 Calculator'!$AD$68))))))</f>
        <v>0</v>
      </c>
      <c r="F9" s="314">
        <f>IF(OR(B9&gt;0,C9&gt;0,D9&gt;0,E9&gt;0),0,IF($F$6=0,0,IF(F$4="Xsmall/Min",'V7 Calculator'!$AD$88,IF(F$4="Small",'V7 Calculator'!$AD$89,IF(F$4="Medium",'V7 Calculator'!$AD$90,IF(F$4="Large",'V7 Calculator'!$AD$91,'V7 Calculator'!AD$92))))))</f>
        <v>0</v>
      </c>
      <c r="G9" s="314">
        <f>IF(OR(B9&gt;0,C9&gt;0,D9&gt;0,E9&gt;0,F9&gt;0),0,IF(G6=0,0,IF(G$4="Xsmall/Min",'V7 Calculator'!$AD$70,IF(G$4="Small",'V7 Calculator'!$AD$71,IF(G$4="Medium",'V7 Calculator'!$AD$72,IF(G$4="Large",'V7 Calculator'!$AD$73,'V7 Calculator'!$AD$74))))))</f>
        <v>0</v>
      </c>
      <c r="H9" s="314">
        <f>IF(OR(B9&gt;0,C9&gt;0,D9&gt;0,E9&gt;0,F9&gt;0,G9&gt;0),0,IF(H6=0,0,IF(H$4="Xsmall/Min",'V7 Calculator'!$AD$76,IF(H$4="Small",'V7 Calculator'!$AD$77,IF(H$4="Medium",'V7 Calculator'!$AD$78,IF(H$4="Large",'V7 Calculator'!$AD$79,'V7 Calculator'!$AD$80))))))</f>
        <v>0</v>
      </c>
      <c r="I9" s="478">
        <f>IF(OR(B9&gt;0,C9&gt;0,D9&gt;0,E9&gt;0,F9&gt;0,G9&gt;0,H9&gt;0),0,IF(I6=0,0,IF(I$4="Xsmall/Min",'V7 Calculator'!$AD$82,IF(I$4="Small",'V7 Calculator'!$AD$83,IF(I$4="Medium",'V7 Calculator'!$AD$84,IF(I$4="Large",'V7 Calculator'!$AD$85,'V7 Calculator'!$AD$86))))))</f>
        <v>0</v>
      </c>
      <c r="J9" s="316">
        <f t="shared" ref="J9:J17" si="1">SUM(B9:I9)</f>
        <v>0</v>
      </c>
    </row>
    <row r="10" spans="1:10" x14ac:dyDescent="0.2">
      <c r="A10" s="336" t="str">
        <f>"   -"&amp;'V7 Calculator'!AF43&amp;" "&amp;'V7 Calculator'!AF44</f>
        <v xml:space="preserve">   -MAS Core</v>
      </c>
      <c r="B10" s="311">
        <f>IF(B6=0,0,IF($B$4="Xsmall/Min",'V7 Calculator'!$AF$46,IF($B$4="Small",'V7 Calculator'!$AF$47,IF($B$4="Medium",'V7 Calculator'!$AF$48,IF($B$4="Large",'V7 Calculator'!$AF$49,'V7 Calculator'!$AF$50)))))</f>
        <v>0</v>
      </c>
      <c r="C10" s="312">
        <f>IF(B10&gt;0,0,IF(C6=0,0,IF(C$4="Xsmall/Min",'V7 Calculator'!$AF$52,IF(C$4="Small",'V7 Calculator'!$AF$53,IF(C$4="Medium",'V7 Calculator'!$AF$54,IF(C$4="Large",'V7 Calculator'!$AF$55,'V7 Calculator'!$AF$56))))))</f>
        <v>0</v>
      </c>
      <c r="D10" s="313">
        <f>IF(OR(B10&gt;0,C10&gt;0),0,IF(D6=0,0,IF(D$4="Xsmall/Min",'V7 Calculator'!$AF$58,IF(D$4="Small",'V7 Calculator'!$AF$59,IF(D$4="Medium",'V7 Calculator'!$AF$60,IF(D$4="Large",'V7 Calculator'!$AF$61,'V7 Calculator'!$AF$62))))))</f>
        <v>0</v>
      </c>
      <c r="E10" s="314">
        <f>IF(OR(B10&gt;0,C10&gt;0,D10&gt;0),0,IF(E6=0,0,IF(E$4="Xsmall/Min",'V7 Calculator'!$AF$64,IF(E$4="Small",'V7 Calculator'!$AF$65,IF(E$4="Medium",'V7 Calculator'!$AF$66,IF(E$4="Large",'V7 Calculator'!$AF$67,'V7 Calculator'!$AF$68))))))</f>
        <v>0</v>
      </c>
      <c r="F10" s="314">
        <f>IF(OR(B10&gt;0,C10&gt;0,D10&gt;0,E10&gt;0),0,IF($F$6=0,0,IF(F$4="Xsmall/Min",'V7 Calculator'!$AF$88,IF(F$4="Small",'V7 Calculator'!$AF$89,IF(F$4="Medium",'V7 Calculator'!$AF$90,IF(F$4="Large",'V7 Calculator'!$AF$91,'V7 Calculator'!AF$92))))))</f>
        <v>0</v>
      </c>
      <c r="G10" s="314">
        <f>IF(OR(B10&gt;0,C10&gt;0,D10&gt;0,E10&gt;0,F10&gt;0),0,IF(G6=0,0,IF(G$4="Xsmall/Min",'V7 Calculator'!$AF$70,IF(G$4="Small",'V7 Calculator'!$AF$71,IF(G$4="Medium",'V7 Calculator'!$AF$72,IF(G$4="Large",'V7 Calculator'!$AF$73,'V7 Calculator'!$AF$74))))))</f>
        <v>0</v>
      </c>
      <c r="H10" s="314">
        <f>IF(OR(B10&gt;0,C10&gt;0,D10&gt;0,E10&gt;0,F10&gt;0,G10&gt;0),0,IF(H6=0,0,IF(H$4="Xsmall/Min",'V7 Calculator'!$AF$76,IF(H$4="Small",'V7 Calculator'!$AF$77,IF(H$4="Medium",'V7 Calculator'!$AF$78,IF(H$4="Large",'V7 Calculator'!$AF$79,'V7 Calculator'!$AF$80))))))</f>
        <v>0</v>
      </c>
      <c r="I10" s="478">
        <f>IF(OR(B10&gt;0,C10&gt;0,D10&gt;0,E10&gt;0,F10&gt;0,G10&gt;0,H10&gt;0),0,IF(I6=0,0,IF(I$4="Xsmall/Min",'V7 Calculator'!$AF$82,IF(I$4="Small",'V7 Calculator'!$AF$83,IF(I$4="Medium",'V7 Calculator'!$AF$84,IF(I$4="Large",'V7 Calculator'!$AF$85,'V7 Calculator'!$AF$86))))))</f>
        <v>0</v>
      </c>
      <c r="J10" s="316">
        <f t="shared" si="1"/>
        <v>0</v>
      </c>
    </row>
    <row r="11" spans="1:10" ht="17" thickBot="1" x14ac:dyDescent="0.25">
      <c r="A11" s="336" t="str">
        <f>"   -"&amp;'V7 Calculator'!AG$44</f>
        <v xml:space="preserve">   -MongoDB</v>
      </c>
      <c r="B11" s="317">
        <f>IF(B6=0,0,IF($B$4="Xsmall/Min",'V7 Calculator'!$AG$46,IF($B$4="Small",'V7 Calculator'!$AG$47,IF($B$4="Medium",'V7 Calculator'!$AG$48,IF($B$4="Large",'V7 Calculator'!$AG$49,'V7 Calculator'!$AG$50)))))</f>
        <v>0</v>
      </c>
      <c r="C11" s="318">
        <f>IF(B11&gt;0,0,IF(C6=0,0,IF(C$4="Xsmall/Min",'V7 Calculator'!$AG$52,IF(C$4="Small",'V7 Calculator'!$AG$53,IF(C$4="Medium",'V7 Calculator'!$AG$54,IF(C$4="Large",'V7 Calculator'!$AG$55,'V7 Calculator'!$AG$56))))))</f>
        <v>0</v>
      </c>
      <c r="D11" s="319">
        <f>IF(OR(B10&gt;0,C10&gt;0),0,IF(D6=0,0,IF(D$4="Xsmall/Min",'V7 Calculator'!$AG$58,IF(D$4="Small",'V7 Calculator'!$AG$59,IF(D$4="Medium",'V7 Calculator'!$AG$60,IF(D$4="Large",'V7 Calculator'!$AG$61,'V7 Calculator'!$AG$62))))))</f>
        <v>0</v>
      </c>
      <c r="E11" s="320">
        <f>IF(OR(B11&gt;0,C11&gt;0,D11&gt;0),0,IF(E6=0,0,IF(E$4="Xsmall/Min",'V7 Calculator'!$AG$64,IF(E$4="Small",'V7 Calculator'!$AG$65,IF(E$4="Medium",'V7 Calculator'!$AG$66,IF(E$4="Large",'V7 Calculator'!$AG$67,'V7 Calculator'!$AG$68))))))</f>
        <v>0</v>
      </c>
      <c r="F11" s="320">
        <f>IF(OR(B11&gt;0,C11&gt;0,D11&gt;0,E11&gt;0),0,IF($F$6=0,0,IF(F$4="Xsmall/Min",'V7 Calculator'!$AG$88,IF(F$4="Small",'V7 Calculator'!$AG$89,IF(F$4="Medium",'V7 Calculator'!$AG$90,IF(F$4="Large",'V7 Calculator'!$AG$91,'V7 Calculator'!AG$92))))))</f>
        <v>0</v>
      </c>
      <c r="G11" s="320">
        <f>IF(OR(B11&gt;0,C11&gt;0,D11&gt;0,E11&gt;0,F11&gt;0),0,IF(G6=0,0,IF(G$4="Xsmall/Min",'V7 Calculator'!$AG$70,IF(G$4="Small",'V7 Calculator'!$AG$71,IF(G$4="Medium",'V7 Calculator'!$AG$72,IF(G$4="Large",'V7 Calculator'!$AG$73,'V7 Calculator'!$AG$74))))))</f>
        <v>0</v>
      </c>
      <c r="H11" s="320">
        <f>IF(OR(B11&gt;0,C11&gt;0,D11&gt;0,E11&gt;0,F11&gt;0,G11&gt;0),0,IF(H6=0,0,IF(H$4="Xsmall/Min",'V7 Calculator'!$AG$76,IF(H$4="Small",'V7 Calculator'!$AG$77,IF(H$4="Medium",'V7 Calculator'!$AG$78,IF(H$4="Large",'V7 Calculator'!$AG$79,'V7 Calculator'!$AG$80))))))</f>
        <v>0</v>
      </c>
      <c r="I11" s="479">
        <f>IF(OR(B11&gt;0,C11&gt;0,D11&gt;0,E11&gt;0,F11&gt;0,G11&gt;0,H11&gt;0),0,IF(I6=0,0,IF(I$4="Xsmall/Min",'V7 Calculator'!$AG$82,IF(I$4="Small",'V7 Calculator'!$AG$83,IF(I$4="Medium",'V7 Calculator'!$AG$84,IF(I$4="Large",'V7 Calculator'!$AG$85,'V7 Calculator'!$AG$86))))))</f>
        <v>0</v>
      </c>
      <c r="J11" s="316">
        <f t="shared" si="1"/>
        <v>0</v>
      </c>
    </row>
    <row r="12" spans="1:10" x14ac:dyDescent="0.2">
      <c r="A12" s="461" t="s">
        <v>227</v>
      </c>
      <c r="B12" s="327">
        <f>IF(B6=0,0,IF(B$4="Xsmall/Min",'V7 Calculator'!$AK$46,IF(B$4="Small",'V7 Calculator'!$AK$47,IF(B$4="Medium",'V7 Calculator'!$AK$48,IF(B$4="Large",'V7 Calculator'!$AK$49,'V7 Calculator'!$AK50)))))</f>
        <v>0</v>
      </c>
      <c r="C12" s="327">
        <f>IF(C6=0,0,IF(C$4="Xsmall/Min",'V7 Calculator'!$AK$52,IF(C$4="Small",'V7 Calculator'!$AK$53,IF(C$4="Medium",'V7 Calculator'!$AK$54,IF(C$4="Large",'V7 Calculator'!$AK$55,'V7 Calculator'!$AK56)))))</f>
        <v>0</v>
      </c>
      <c r="D12" s="327">
        <f>IF(D6=0,0,IF(D$4="Xsmall/Min",'V7 Calculator'!$AK$58,IF(D$4="Small",'V7 Calculator'!$AK$59,IF(D$4="Medium",'V7 Calculator'!$AK$60,IF(D$4="Large",'V7 Calculator'!$AK$61,'V7 Calculator'!$AK62)))))</f>
        <v>0</v>
      </c>
      <c r="E12" s="327">
        <f>IF(E6=0,0,IF(E$4="Xsmall/Min",'V7 Calculator'!$AK$64,IF(E$4="Small",'V7 Calculator'!$AK$65,IF(E$4="Medium",'V7 Calculator'!$AK$66,IF(E$4="Large",'V7 Calculator'!$AK$67,'V7 Calculator'!$AK68)))))</f>
        <v>0</v>
      </c>
      <c r="F12" s="327">
        <f>IF(F6=0,0,IF(F$4="Xsmall/Min",'V7 Calculator'!$AK$88,IF(F$4="Small",'V7 Calculator'!$AK$89,IF(F$4="Medium",'V7 Calculator'!$AK$90,IF(F$4="Large",'V7 Calculator'!$AK$91,'V7 Calculator'!$AK92)))))</f>
        <v>0</v>
      </c>
      <c r="G12" s="327">
        <f>IF(G6=0,0,IF(G$4="Xsmall/Min",'V7 Calculator'!$AK$70,IF(G$4="Small",'V7 Calculator'!$AK$71,IF(G$4="Medium",'V7 Calculator'!$AK$72,IF(G$4="Large",'V7 Calculator'!$AK$73,'V7 Calculator'!$AK74)))))</f>
        <v>0</v>
      </c>
      <c r="H12" s="327">
        <f>IF(H6=0,0,IF(H$4="Xsmall/Min",'V7 Calculator'!$AK$76,IF(H$4="Small",'V7 Calculator'!$AK$77,IF(H$4="Medium",'V7 Calculator'!$AK$78,IF(H$4="Large",'V7 Calculator'!$AK$79,'V7 Calculator'!$AK80)))))</f>
        <v>0</v>
      </c>
      <c r="I12" s="327">
        <f>IF(I6=0,0,IF(I$4="Xsmall/Min",'V7 Calculator'!$AK$82,IF(I$4="Small",'V7 Calculator'!$AK$83,IF(I$4="Medium",'V7 Calculator'!$AK$84,IF(I$4="Large",'V7 Calculator'!$AK$85,'V7 Calculator'!$AK86)))))</f>
        <v>0</v>
      </c>
      <c r="J12" s="460">
        <f t="shared" si="1"/>
        <v>0</v>
      </c>
    </row>
    <row r="13" spans="1:10" x14ac:dyDescent="0.2">
      <c r="A13" s="462" t="str">
        <f>'V7 Calculator'!AE$43&amp;" "&amp;'V7 Calculator'!AE$44</f>
        <v>DB2 Warehouse</v>
      </c>
      <c r="B13" s="324">
        <f>IF(OR(B6=0,'V7 Calculator'!$E$15="Y"),0,IF($B$4="Xsmall/Min",'V7 Calculator'!$AE$46,IF($B$4="Small",'V7 Calculator'!$AE$47,IF($B$4="Medium",'V7 Calculator'!$AE$48,IF($B$4="Large",'V7 Calculator'!$AE$49,'V7 Calculator'!$AE50)))))</f>
        <v>0</v>
      </c>
      <c r="C13" s="325">
        <f>IF(OR(C6=0,'V7 Calculator'!$E$15="Y"),0,IF(C$4="Xsmall/Min",'V7 Calculator'!$AE$52,IF(C$4="Small",'V7 Calculator'!$AE$53,IF(C$4="Medium",'V7 Calculator'!$AE$54,IF(C$4="Large",'V7 Calculator'!$AE$55,'V7 Calculator'!$AE56)))))</f>
        <v>0</v>
      </c>
      <c r="D13" s="326">
        <f>IF(OR(D6=0,'V7 Calculator'!$E$15="Y",'V7 Calculator'!E21="Y"),0,IF(D6=0,0,IF(D$4="Xsmall/Min",'V7 Calculator'!$AE$58,IF(D$4="Small",'V7 Calculator'!$AE$59,IF(D$4="Medium",'V7 Calculator'!$AE$60,IF(D$4="Large",'V7 Calculator'!$AE$61,'V7 Calculator'!$AE62))))))</f>
        <v>0</v>
      </c>
      <c r="E13" s="327">
        <f>IF(E6=0,0,IF(E$4="Xsmall/Min",'V7 Calculator'!$AE$64,IF(E$4="Small",'V7 Calculator'!$AE$65,IF(E$4="Medium",'V7 Calculator'!$AE$66,IF(E$4="Large",'V7 Calculator'!$AE$67,'V7 Calculator'!$AE68)))))</f>
        <v>0</v>
      </c>
      <c r="F13" s="327">
        <f>IF(F6=0,0,IF(F$4="Xsmall/Min",'V7 Calculator'!$AE$88,IF(F$4="Small",'V7 Calculator'!$AE$89,IF(F$4="Medium",'V7 Calculator'!$AE$90,IF(F$4="Large",'V7 Calculator'!$AE$91,'V7 Calculator'!$AE92)))))</f>
        <v>0</v>
      </c>
      <c r="G13" s="327">
        <f>IF(G6=0,0,IF(G$4="Xsmall/Min",'V7 Calculator'!$AE$70,IF(G$4="Small",'V7 Calculator'!$AE$71,IF(G$4="Medium",'V7 Calculator'!$AE$72,IF(G$4="Large",'V7 Calculator'!$AE$73,'V7 Calculator'!$AE74)))))</f>
        <v>0</v>
      </c>
      <c r="H13" s="327">
        <f>IF(H6=0,0,IF(H$4="Xsmall/Min",'V7 Calculator'!$AE$76,IF(H$4="Small",'V7 Calculator'!$AE$77,IF(H$4="Medium",'V7 Calculator'!$AE$78,IF(H$4="Large",'V7 Calculator'!$AE$79,'V7 Calculator'!$AE80)))))</f>
        <v>0</v>
      </c>
      <c r="I13" s="327">
        <f>IF(I6=0,0,IF(I$4="Xsmall/Min",'V7 Calculator'!$AE$82,IF(I$4="Small",'V7 Calculator'!$AE$83,IF(I$4="Medium",'V7 Calculator'!$AE$84,IF(I$4="Large",'V7 Calculator'!$AE$85,'V7 Calculator'!$AE86)))))</f>
        <v>0</v>
      </c>
      <c r="J13" s="329">
        <f t="shared" si="1"/>
        <v>0</v>
      </c>
    </row>
    <row r="14" spans="1:10" x14ac:dyDescent="0.2">
      <c r="A14" s="462" t="str">
        <f>'V7 Calculator'!AH$43&amp;" "&amp;'V7 Calculator'!AH$44</f>
        <v>Watson Studio</v>
      </c>
      <c r="B14" s="324">
        <f>IF(B6=0,0,IF($B$4="Xsmall/Min",'V7 Calculator'!$AH$46,IF($B$4="Small",'V7 Calculator'!$AH$47,IF($B$4="Medium",'V7 Calculator'!$AH$48,IF($B$4="Large",'V7 Calculator'!$AH$49,'V7 Calculator'!$AH$50)))))</f>
        <v>0</v>
      </c>
      <c r="C14" s="325">
        <f>IF(C6=0,0,IF(C$4="Xsmall/Min",'V7 Calculator'!$AH$52,IF(C$4="Small",'V7 Calculator'!$AH$53,IF(C$4="Medium",'V7 Calculator'!$AH$54,IF(C$4="Large",'V7 Calculator'!$AH$55,'V7 Calculator'!$AH$56)))))</f>
        <v>0</v>
      </c>
      <c r="D14" s="326">
        <f>IF(D6=0,0,IF(D$4="Xsmall/Min",'V7 Calculator'!$AH$58,IF(D$4="Small",'V7 Calculator'!$AH$59,IF(D$4="Medium",'V7 Calculator'!$AH$60,IF(D$4="Large",'V7 Calculator'!$AH$61,'V7 Calculator'!$AH$62)))))</f>
        <v>0</v>
      </c>
      <c r="E14" s="327">
        <f>IF(E6=0,0,IF(E$4="Xsmall/Min",'V7 Calculator'!$AH$64,IF(E$4="Small",'V7 Calculator'!$AH$65,IF(E$4="Medium",'V7 Calculator'!$AH$66,IF(E$4="Large",'V7 Calculator'!$AH$67,'V7 Calculator'!$AH$68)))))</f>
        <v>0</v>
      </c>
      <c r="F14" s="327">
        <f>IF(OR(F6=0,E14&gt;0),0,IF(F$4="Xsmall/Min",'V7 Calculator'!$AH$88,IF(F$4="Small",'V7 Calculator'!$AH$89,IF(F$4="Medium",'V7 Calculator'!$AH$90,IF(F$4="Large",'V7 Calculator'!$AH$91,'V7 Calculator'!$AH$92)))))</f>
        <v>0</v>
      </c>
      <c r="G14" s="327">
        <f>IF(G6=0,0,IF(G$4="Xsmall/Min",'V7 Calculator'!$AH$70,IF(G$4="Small",'V7 Calculator'!$AH$71,IF(G$4="Medium",'V7 Calculator'!$AH$72,IF(G$4="Large",'V7 Calculator'!$AH$73,'V7 Calculator'!$AH$74)))))</f>
        <v>0</v>
      </c>
      <c r="H14" s="327">
        <f>IF(H6=0,0,IF(H$4="Xsmall/Min",'V7 Calculator'!$AH$76,IF(H$4="Small",'V7 Calculator'!$AH$77,IF(H$4="Medium",'V7 Calculator'!$AH$78,IF(H$4="Large",'V7 Calculator'!$AH$79,'V7 Calculator'!$AH$80)))))</f>
        <v>0</v>
      </c>
      <c r="I14" s="327">
        <f>IF(I6=0,0,IF(I$4="Xsmall/Min",'V7 Calculator'!$AH$82,IF(I$4="Small",'V7 Calculator'!$AH$83,IF(I$4="Medium",'V7 Calculator'!$AH$84,IF(I$4="Large",'V7 Calculator'!$AH$85,'V7 Calculator'!$AH$86)))))</f>
        <v>0</v>
      </c>
      <c r="J14" s="329">
        <f t="shared" si="1"/>
        <v>0</v>
      </c>
    </row>
    <row r="15" spans="1:10" x14ac:dyDescent="0.2">
      <c r="A15" s="462" t="str">
        <f>'V7 Calculator'!AI$43&amp;" "&amp;'V7 Calculator'!AI$44</f>
        <v>Watson ML</v>
      </c>
      <c r="B15" s="324">
        <f>IF(B6=0,0,IF($B$4="Xsmall/Min",'V7 Calculator'!$AI$46,IF($B$4="Small",'V7 Calculator'!$AI$47,IF($B$4="Medium",'V7 Calculator'!$AI$48,IF($B$4="Large",'V7 Calculator'!$AI$49,'V7 Calculator'!$AI$50)))))</f>
        <v>0</v>
      </c>
      <c r="C15" s="325">
        <f>IF(C6=0,0,IF(C$4="Xsmall/Min",'V7 Calculator'!$AI$52,IF(C$4="Small",'V7 Calculator'!$AI$53,IF(C$4="Medium",'V7 Calculator'!$AI$54,IF(C$4="Large",'V7 Calculator'!$AI$55,'V7 Calculator'!$AI$56)))))</f>
        <v>0</v>
      </c>
      <c r="D15" s="326">
        <f>IF(D6=0,0,IF(D$4="Xsmall/Min",'V7 Calculator'!$AI$58,IF(D$4="Small",'V7 Calculator'!$AI$59,IF(D$4="Medium",'V7 Calculator'!$AI$60,IF(D$4="Large",'V7 Calculator'!$AI$61,'V7 Calculator'!$AI$62)))))</f>
        <v>0</v>
      </c>
      <c r="E15" s="327">
        <f>IF(E6=0,0,IF(E$4="Xsmall/Min",'V7 Calculator'!$AI$64,IF(E$4="Small",'V7 Calculator'!$AI$65,IF(E$4="Medium",'V7 Calculator'!$AI$66,IF(E$4="Large",'V7 Calculator'!$AI$67,'V7 Calculator'!$AI$68)))))</f>
        <v>0</v>
      </c>
      <c r="F15" s="327">
        <f>IF(OR(F6=0,E15&gt;0),0,IF(F$4="Xsmall/Min",'V7 Calculator'!$AI$88,IF(F$4="Small",'V7 Calculator'!$AI$89,IF(F$4="Medium",'V7 Calculator'!$AI$90,IF(F$4="Large",'V7 Calculator'!$AI$91,'V7 Calculator'!$AI$92)))))</f>
        <v>0</v>
      </c>
      <c r="G15" s="327">
        <f>IF(G6=0,0,IF(G$4="Xsmall/Min",'V7 Calculator'!$AI$70,IF(G$4="Small",'V7 Calculator'!$AI$71,IF(G$4="Medium",'V7 Calculator'!$AI$72,IF(G$4="Large",'V7 Calculator'!$AI$73,'V7 Calculator'!$AI$74)))))</f>
        <v>0</v>
      </c>
      <c r="H15" s="327">
        <f>IF(H6=0,0,IF(H$4="Xsmall/Min",'V7 Calculator'!$AI$76,IF(H$4="Small",'V7 Calculator'!$AI$77,IF(H$4="Medium",'V7 Calculator'!$AI$78,IF(H$4="Large",'V7 Calculator'!$AI$79,'V7 Calculator'!$AI$80)))))</f>
        <v>0</v>
      </c>
      <c r="I15" s="327">
        <f>IF(I6=0,0,IF(I$4="Xsmall/Min",'V7 Calculator'!$AI$82,IF(I$4="Small",'V7 Calculator'!$AI$83,IF(I$4="Medium",'V7 Calculator'!$AI$84,IF(I$4="Large",'V7 Calculator'!$AI$85,'V7 Calculator'!$AI$86)))))</f>
        <v>0</v>
      </c>
      <c r="J15" s="329">
        <f t="shared" si="1"/>
        <v>0</v>
      </c>
    </row>
    <row r="16" spans="1:10" x14ac:dyDescent="0.2">
      <c r="A16" s="462" t="s">
        <v>229</v>
      </c>
      <c r="B16" s="327">
        <f>IF(B6=0,0,IF(B$4="Xsmall/Min",'V7 Calculator'!$AL$46,IF(B$4="Small",'V7 Calculator'!$AL$47,IF(B$4="Medium",'V7 Calculator'!$AL$48,IF(B$4="Large",'V7 Calculator'!$AL$49,'V7 Calculator'!$AL$50)))))</f>
        <v>0</v>
      </c>
      <c r="C16" s="327">
        <f>IF(C6=0,0,IF(C$4="Xsmall/Min",'V7 Calculator'!$AL$52,IF(C$4="Small",'V7 Calculator'!$AL$53,IF(C$4="Medium",'V7 Calculator'!$AL$54,IF(C$4="Large",'V7 Calculator'!$AL$55,'V7 Calculator'!$AL$56)))))</f>
        <v>0</v>
      </c>
      <c r="D16" s="327">
        <f>IF(D6=0,0,IF(D$4="Xsmall/Min",'V7 Calculator'!$AL$58,IF(D$4="Small",'V7 Calculator'!$AL$59,IF(D$4="Medium",'V7 Calculator'!$AL$60,IF(D$4="Large",'V7 Calculator'!$AL$61,'V7 Calculator'!$AL$62)))))</f>
        <v>0</v>
      </c>
      <c r="E16" s="327">
        <f>IF(E6=0,0,IF(E$4="Xsmall/Min",'V7 Calculator'!$AL$64,IF(E$4="Small",'V7 Calculator'!$AL$65,IF(E$4="Medium",'V7 Calculator'!$AL$66,IF(E$4="Large",'V7 Calculator'!$AL$67,'V7 Calculator'!$AL$68)))))</f>
        <v>0</v>
      </c>
      <c r="F16" s="327">
        <f>IF(F6=0,0,IF(F$4="Xsmall/Min",'V7 Calculator'!$AL$88,IF(F$4="Small",'V7 Calculator'!$AL$89,IF(F$4="Medium",'V7 Calculator'!$AL$90,IF(F$4="Large",'V7 Calculator'!$AL$91,'V7 Calculator'!$AL$92)))))</f>
        <v>0</v>
      </c>
      <c r="G16" s="327">
        <f>IF(G6=0,0,IF(G$4="Xsmall/Min",'V7 Calculator'!$AL$70,IF(G$4="Small",'V7 Calculator'!$AL$71,IF(G$4="Medium",'V7 Calculator'!$AL$72,IF(G$4="Large",'V7 Calculator'!$AL$73,'V7 Calculator'!$AL$74)))))</f>
        <v>0</v>
      </c>
      <c r="H16" s="327">
        <f>IF(H6=0,0,IF(H$4="Xsmall/Min",'V7 Calculator'!$AL$76,IF(H$4="Small",'V7 Calculator'!$AL$77,IF(H$4="Medium",'V7 Calculator'!$AL$78,IF(H$4="Large",'V7 Calculator'!$AL$79,'V7 Calculator'!$AL$80)))))</f>
        <v>0</v>
      </c>
      <c r="I16" s="327">
        <f>IF(I6=0,0,IF(I$4="Xsmall/Min",'V7 Calculator'!$AL$82,IF(I$4="Small",'V7 Calculator'!$AL$83,IF(I$4="Medium",'V7 Calculator'!$AL$84,IF(I$4="Large",'V7 Calculator'!$AL$85,'V7 Calculator'!$AL$86)))))</f>
        <v>0</v>
      </c>
      <c r="J16" s="329">
        <f t="shared" si="1"/>
        <v>0</v>
      </c>
    </row>
    <row r="17" spans="1:10" ht="17" thickBot="1" x14ac:dyDescent="0.25">
      <c r="A17" s="463" t="str">
        <f>'V7 Calculator'!AJ$43&amp;" "&amp;'V7 Calculator'!AJ$44</f>
        <v>Kafka Streaming</v>
      </c>
      <c r="B17" s="330">
        <f>IF(B6=0,0,IF($B$4="Xsmall/Min",'V7 Calculator'!$AJ$46,IF($B$4="Small",'V7 Calculator'!$AJ$47,IF($B$4="Medium",'V7 Calculator'!$AJ$48,IF($B$4="Large",'V7 Calculator'!$AJ$49,'V7 Calculator'!$AJ$50)))))</f>
        <v>0</v>
      </c>
      <c r="C17" s="331">
        <f>IF(C6=0,0,IF(C$4="Xsmall/Min",'V7 Calculator'!$AJ$52,IF(C$4="Small",'V7 Calculator'!$AJ$53,IF(C$4="Medium",'V7 Calculator'!$AJ$54,IF(C$4="Large",'V7 Calculator'!$AJ$55,'V7 Calculator'!$AJ$56)))))</f>
        <v>0</v>
      </c>
      <c r="D17" s="332">
        <f>IF(D6=0,0,IF(D$4="Xsmall/Min",'V7 Calculator'!$AJ$58,IF(D$4="Small",'V7 Calculator'!$AJ$59,IF(D$4="Medium",'V7 Calculator'!$AJ$60,IF(D$4="Large",'V7 Calculator'!$AJ$61,'V7 Calculator'!$AJ$62)))))</f>
        <v>0</v>
      </c>
      <c r="E17" s="333">
        <f>IF(E6=0,0,IF(E$4="Xsmall/Min",'V7 Calculator'!$AJ$64,IF(E$4="Small",'V7 Calculator'!$AJ$65,IF(E$4="Medium",'V7 Calculator'!$AJ$66,IF(E$4="Large",'V7 Calculator'!$AJ$67,'V7 Calculator'!$AJ$68)))))</f>
        <v>0</v>
      </c>
      <c r="F17" s="333">
        <f>IF(F6=0,0,IF(F$4="Xsmall/Min",'V7 Calculator'!$AJ$88,IF(F$4="Small",'V7 Calculator'!$AJ$89,IF(F$4="Medium",'V7 Calculator'!$AJ$90,IF(F$4="Large",'V7 Calculator'!$AJ$91,'V7 Calculator'!$AJ$92)))))</f>
        <v>0</v>
      </c>
      <c r="G17" s="333">
        <f>IF(G6=0,0,IF(G$4="Xsmall/Min",'V7 Calculator'!$AJ$70,IF(G$4="Small",'V7 Calculator'!$AJ$71,IF(G$4="Medium",'V7 Calculator'!$AJ$72,IF(G$4="Large",'V7 Calculator'!$AJ$73,'V7 Calculator'!$AJ$74)))))</f>
        <v>0</v>
      </c>
      <c r="H17" s="333">
        <f>IF(H6=0,0,IF(H$4="Xsmall/Min",'V7 Calculator'!$AJ$76,IF(H$4="Small",'V7 Calculator'!$AJ$77,IF(H$4="Medium",'V7 Calculator'!$AJ$78,IF(H$4="Large",'V7 Calculator'!$AJ$79,'V7 Calculator'!$AJ$80)))))</f>
        <v>0</v>
      </c>
      <c r="I17" s="333">
        <f>IF(I6=0,0,IF(I$4="Xsmall/Min",'V7 Calculator'!$AJ$82,IF(I$4="Small",'V7 Calculator'!$AJ$83,IF(I$4="Medium",'V7 Calculator'!$AJ$84,IF(I$4="Large",'V7 Calculator'!$AJ$85,'V7 Calculator'!$AJ$86)))))</f>
        <v>0</v>
      </c>
      <c r="J17" s="335">
        <f t="shared" si="1"/>
        <v>0</v>
      </c>
    </row>
    <row r="18" spans="1:10" ht="17" thickBot="1" x14ac:dyDescent="0.25">
      <c r="A18" s="212" t="s">
        <v>174</v>
      </c>
      <c r="B18" s="308">
        <f>SUM(B6:B17)-B7</f>
        <v>0</v>
      </c>
      <c r="C18" s="306">
        <f t="shared" ref="C18:J18" si="2">SUM(C6:C17)-C7</f>
        <v>0</v>
      </c>
      <c r="D18" s="307">
        <f t="shared" si="2"/>
        <v>0</v>
      </c>
      <c r="E18" s="308">
        <f t="shared" si="2"/>
        <v>0</v>
      </c>
      <c r="F18" s="308">
        <f t="shared" si="2"/>
        <v>0</v>
      </c>
      <c r="G18" s="308">
        <f t="shared" si="2"/>
        <v>0</v>
      </c>
      <c r="H18" s="457">
        <f t="shared" si="2"/>
        <v>0</v>
      </c>
      <c r="I18" s="309">
        <f t="shared" si="2"/>
        <v>0</v>
      </c>
      <c r="J18" s="238">
        <f t="shared" si="2"/>
        <v>0</v>
      </c>
    </row>
    <row r="19" spans="1:10" ht="17" thickBot="1" x14ac:dyDescent="0.25"/>
    <row r="20" spans="1:10" ht="20" thickBot="1" x14ac:dyDescent="0.3">
      <c r="A20" s="216" t="s">
        <v>40</v>
      </c>
      <c r="B20" s="339" t="str">
        <f t="shared" ref="B20:J20" si="3">B5</f>
        <v>Manage</v>
      </c>
      <c r="C20" s="340" t="str">
        <f t="shared" si="3"/>
        <v>Monitor</v>
      </c>
      <c r="D20" s="340" t="str">
        <f t="shared" si="3"/>
        <v>Health</v>
      </c>
      <c r="E20" s="340" t="str">
        <f t="shared" si="3"/>
        <v>Predict</v>
      </c>
      <c r="F20" s="340" t="str">
        <f t="shared" si="3"/>
        <v>H&amp;P - Utilities</v>
      </c>
      <c r="G20" s="458" t="str">
        <f t="shared" si="3"/>
        <v>Visual Inspection</v>
      </c>
      <c r="H20" s="458" t="str">
        <f t="shared" si="3"/>
        <v>Assist</v>
      </c>
      <c r="I20" s="346" t="str">
        <f t="shared" si="3"/>
        <v>Safety</v>
      </c>
      <c r="J20" s="341" t="str">
        <f t="shared" si="3"/>
        <v>TOTALS</v>
      </c>
    </row>
    <row r="21" spans="1:10" ht="17" thickBot="1" x14ac:dyDescent="0.25">
      <c r="A21" s="342" t="str">
        <f t="shared" ref="A21:A26" si="4">A6</f>
        <v>Application</v>
      </c>
      <c r="B21" s="343">
        <f>'V7 Calculator'!O21</f>
        <v>0</v>
      </c>
      <c r="C21" s="308">
        <f>'V7 Calculator'!O22</f>
        <v>0</v>
      </c>
      <c r="D21" s="306">
        <f>'V7 Calculator'!O23</f>
        <v>0</v>
      </c>
      <c r="E21" s="308">
        <f>'V7 Calculator'!O24</f>
        <v>0</v>
      </c>
      <c r="F21" s="308">
        <f>'V7 Calculator'!O25</f>
        <v>0</v>
      </c>
      <c r="G21" s="457">
        <f>'V7 Calculator'!O26</f>
        <v>0</v>
      </c>
      <c r="H21" s="308">
        <f>'V7 Calculator'!O27</f>
        <v>0</v>
      </c>
      <c r="I21" s="309">
        <f>'V7 Calculator'!O28</f>
        <v>0</v>
      </c>
      <c r="J21" s="310">
        <f>SUM(B21:I21)</f>
        <v>0</v>
      </c>
    </row>
    <row r="22" spans="1:10" ht="17" thickBot="1" x14ac:dyDescent="0.25">
      <c r="A22" s="342" t="str">
        <f t="shared" si="4"/>
        <v>MAS Base</v>
      </c>
      <c r="B22" s="305">
        <f>SUM(B23:B26)</f>
        <v>0</v>
      </c>
      <c r="C22" s="308">
        <f t="shared" ref="C22:I22" si="5">SUM(C23:C26)</f>
        <v>0</v>
      </c>
      <c r="D22" s="308">
        <f t="shared" si="5"/>
        <v>0</v>
      </c>
      <c r="E22" s="308">
        <f t="shared" si="5"/>
        <v>0</v>
      </c>
      <c r="F22" s="308">
        <f t="shared" si="5"/>
        <v>0</v>
      </c>
      <c r="G22" s="457">
        <f t="shared" si="5"/>
        <v>0</v>
      </c>
      <c r="H22" s="308">
        <f t="shared" si="5"/>
        <v>0</v>
      </c>
      <c r="I22" s="306">
        <f t="shared" si="5"/>
        <v>0</v>
      </c>
      <c r="J22" s="310">
        <f t="shared" ref="J22:J32" si="6">SUM(B22:I22)</f>
        <v>0</v>
      </c>
    </row>
    <row r="23" spans="1:10" x14ac:dyDescent="0.2">
      <c r="A23" s="336" t="str">
        <f t="shared" si="4"/>
        <v xml:space="preserve">   -OpenShift Worker</v>
      </c>
      <c r="B23" s="687">
        <f>IF(B4="",0,IF(B4="Xsmall/Min",'V7 Calculator'!AP$46-B27-B28-B29-B31-B32,IF(B4="Small",'V7 Calculator'!AP$47-B27-B28-B29-B31-B32,IF(B4="Medium",'V7 Calculator'!AP$48-B27-B28-B29-B31-B32,IF(B4="Large",'V7 Calculator'!AP$49-B27-B28-B29-B31-B32,'V7 Calculator'!AP50-B27-B28-B29-B31-B32)))))</f>
        <v>0</v>
      </c>
      <c r="C23" s="690">
        <f>IF(OR(C4="",B23&gt;0),0,IF(C4="Xsmall/Min",'V7 Calculator'!AP$52-C27-C28-C29-C31-C32,IF(C4="Small",'V7 Calculator'!AP$53-C27-C28-C29-C31-C32,IF(C4="Medium",'V7 Calculator'!AP$54-C27-C28-C29-C31-C32,IF(C4="Large",'V7 Calculator'!AP$55-C27-C28-C29-C31-C32,'V7 Calculator'!AP56-C27-C28-C29-C31-C32)))))</f>
        <v>0</v>
      </c>
      <c r="D23" s="693">
        <f>IF(OR(D4="",B23&gt;0,C23&gt;0),0,IF(D4="Xsmall/Min",'V7 Calculator'!AP$58-D27-D28-D29-D31-D32,IF(D4="Small",'V7 Calculator'!AP$59-D27-D28-D29-D31-D32,IF(D4="Medium",'V7 Calculator'!AP$60-D27-D28-D29-D31-D32,IF(D4="Large",'V7 Calculator'!AP$61-D27-D28-D29-D31-D32,'V7 Calculator'!AP62-D27-D28-D29-D31-D32)))))</f>
        <v>0</v>
      </c>
      <c r="E23" s="693">
        <f>IF(OR(E4="",B23&gt;0,C23&gt;0,D23&gt;0),0,IF(E4="Xsmall/Min",'V7 Calculator'!AP$64-E27-E28-E29-E31-E32,IF(E4="Small",'V7 Calculator'!AP$65-E27-E28-E29-E31-E32,IF(E4="Medium",'V7 Calculator'!AP$66-E27-E28-E29-E31-E32,IF(E4="Large",'V7 Calculator'!AP$67-E27-E28-E29-E31-E32,'V7 Calculator'!AP68-E27-E28-E29-E31-E32)))))</f>
        <v>0</v>
      </c>
      <c r="F23" s="693">
        <f>IF(OR(F4="",B23&gt;0,C23&gt;0,D23&gt;0,E23&gt;0),0,IF(F4="Xsmall/Min",'V7 Calculator'!AQ$88-F27-F28-F29-F31-F32,IF(F4="Small",'V7 Calculator'!AQ$89-F27-F28-F29-F31-F32,IF(F4="Medium",'V7 Calculator'!AQ$90-F27-F28-F29-F31-F32,IF(F4="Large",'V7 Calculator'!AQ$91-F27-F28-F29-F31-F32,'V7 Calculator'!AQ92-F27-F28-F29-F31-F32)))))</f>
        <v>0</v>
      </c>
      <c r="G23" s="690">
        <f>IF(OR(G4="",B23&gt;0,C23&gt;0,D23&gt;0,E23&gt;0,F23&gt;0),0,IF(G4="Xsmall/Min",'V7 Calculator'!AP$70-G27-G28-G29-G31-G32,IF(G4="Small",'V7 Calculator'!AP$71-G27-G28-G29-G31-G32,IF(G4="Medium",'V7 Calculator'!AP$72-G27-G28-G29-G31-G32,IF(G4="Large",'V7 Calculator'!AP$73-G27-G28-G29-G31-G32,'V7 Calculator'!AP$74-G27-G28-G29-G31-G32)))))</f>
        <v>0</v>
      </c>
      <c r="H23" s="690">
        <f>IF(OR(H4="",B23&gt;0,C23&gt;0,D23&gt;0,E23&gt;0,F23&gt;0,G23&gt;0),0,IF(H4="Xsmall/Min",'V7 Calculator'!AP$76-H27-H28-H29-H31-H32,IF(H4="Small",'V7 Calculator'!AP$77-H27-H28-H29-H31-H32,IF(H4="Medium",'V7 Calculator'!AP$78-H27-H28-H29-H31-H32,IF(H4="Large",'V7 Calculator'!AP$79-H27-H28-H29-H31-H32,'V7 Calculator'!AP$80-H27-H28-H29-H31-H32)))))</f>
        <v>0</v>
      </c>
      <c r="I23" s="698">
        <f>IF(OR(I4="",C23&gt;0,D23&gt;0,E23&gt;0,F23&gt;0,G23&gt;0,H23&gt;0),0,IF(I4="Xsmall/Min",'V7 Calculator'!AP$82-I27-I28-I29-I31-I32,IF(I4="Small",'V7 Calculator'!AP$83-I27-I28-I29-I31-I32,IF(I4="Medium",'V7 Calculator'!AP$84-I27-I28-I29-I31-I32,IF(I4="Large",'V7 Calculator'!AP$85-I27-I28-I29-I31-I32,'V7 Calculator'!AP$86-I27-I28-I29-I31-I32)))))</f>
        <v>0</v>
      </c>
      <c r="J23" s="696">
        <f t="shared" si="6"/>
        <v>0</v>
      </c>
    </row>
    <row r="24" spans="1:10" x14ac:dyDescent="0.2">
      <c r="A24" s="336" t="str">
        <f t="shared" si="4"/>
        <v xml:space="preserve">   -ICP4D Base</v>
      </c>
      <c r="B24" s="688"/>
      <c r="C24" s="691"/>
      <c r="D24" s="694"/>
      <c r="E24" s="694"/>
      <c r="F24" s="694"/>
      <c r="G24" s="691"/>
      <c r="H24" s="691"/>
      <c r="I24" s="699"/>
      <c r="J24" s="697">
        <f t="shared" si="6"/>
        <v>0</v>
      </c>
    </row>
    <row r="25" spans="1:10" x14ac:dyDescent="0.2">
      <c r="A25" s="336" t="str">
        <f t="shared" si="4"/>
        <v xml:space="preserve">   -MAS Core</v>
      </c>
      <c r="B25" s="688"/>
      <c r="C25" s="691"/>
      <c r="D25" s="694"/>
      <c r="E25" s="694"/>
      <c r="F25" s="694"/>
      <c r="G25" s="691"/>
      <c r="H25" s="691"/>
      <c r="I25" s="699"/>
      <c r="J25" s="697">
        <f t="shared" si="6"/>
        <v>0</v>
      </c>
    </row>
    <row r="26" spans="1:10" ht="17" thickBot="1" x14ac:dyDescent="0.25">
      <c r="A26" s="336" t="str">
        <f t="shared" si="4"/>
        <v xml:space="preserve">   -MongoDB</v>
      </c>
      <c r="B26" s="689"/>
      <c r="C26" s="692"/>
      <c r="D26" s="695"/>
      <c r="E26" s="695"/>
      <c r="F26" s="695"/>
      <c r="G26" s="692"/>
      <c r="H26" s="692"/>
      <c r="I26" s="700"/>
      <c r="J26" s="697">
        <f t="shared" si="6"/>
        <v>0</v>
      </c>
    </row>
    <row r="27" spans="1:10" x14ac:dyDescent="0.2">
      <c r="A27" s="338" t="s">
        <v>227</v>
      </c>
      <c r="B27" s="321">
        <f>IF($B$4="",0,IF($B$4="Xsmall/Min",'V7 Calculator'!$AV$46,IF($B$4="Small",'V7 Calculator'!$AV$47,IF($B$4="Medium",'V7 Calculator'!$AV$48,IF($B$4="Large",'V7 Calculator'!$AV$49,'V7 Calculator'!$AV$50)))))</f>
        <v>0</v>
      </c>
      <c r="C27" s="322">
        <f>IF($C$4="",0,IF($C$4="Xsmall/Min",'V7 Calculator'!$AV$52,IF($C$4="Small",'V7 Calculator'!$AV$53,IF($C$4="Medium",'V7 Calculator'!$AV$54,IF($C$4="Large",'V7 Calculator'!$AV$55,'V7 Calculator'!$AV$56)))))</f>
        <v>0</v>
      </c>
      <c r="D27" s="322">
        <f>IF($D$4="",0,IF($D$4="Xsmall/Min",'V7 Calculator'!$AV$58,IF($D$4="Small",'V7 Calculator'!$AV$59,IF($D$4="Medium",'V7 Calculator'!$AV$60,IF($D$4="Large",'V7 Calculator'!$AV$61,'V7 Calculator'!$AV$62)))))</f>
        <v>0</v>
      </c>
      <c r="E27" s="322">
        <f>IF($E$4="",0,IF($E$4="Xsmall/Min",'V7 Calculator'!$AV$64,IF($E$4="Small",'V7 Calculator'!$AV$65,IF($E$4="Medium",'V7 Calculator'!$AV$66,IF($E$4="Large",'V7 Calculator'!$AV$67,'V7 Calculator'!$AV$68)))))</f>
        <v>0</v>
      </c>
      <c r="F27" s="322">
        <f>IF($F$4="",0,IF($F$4="Xsmall/Min",'V7 Calculator'!$AV$88,IF($F$4="Small",'V7 Calculator'!$AV$89,IF($F$4="Medium",'V7 Calculator'!$AV$90,IF($F$4="Large",'V7 Calculator'!$AV$91,'V7 Calculator'!$AV$92)))))</f>
        <v>0</v>
      </c>
      <c r="G27" s="322">
        <f>IF($G$4="",0,IF($G$4="Xsmall/Min",'V7 Calculator'!$AV$70,IF($G$4="Small",'V7 Calculator'!$AV$71,IF($G$4="Medium",'V7 Calculator'!$AV$72,IF($G$4="Large",'V7 Calculator'!$AV$73,'V7 Calculator'!$AV$74)))))</f>
        <v>0</v>
      </c>
      <c r="H27" s="322">
        <f>IF($H$4="",0,IF($H$4="Xsmall/Min",'V7 Calculator'!$AV$76,IF($H$4="Small",'V7 Calculator'!$AV$77,IF($H$4="Medium",'V7 Calculator'!$AV$78,IF($H$4="Large",'V7 Calculator'!$AV$79,'V7 Calculator'!$AV$80)))))</f>
        <v>0</v>
      </c>
      <c r="I27" s="323">
        <f>IF($I$4="",0,IF($I$4="Xsmall/Min",'V7 Calculator'!$AV$82,IF($I$4="Small",'V7 Calculator'!$AV$83,IF($I$4="Medium",'V7 Calculator'!$AV$84,IF($I$4="Large",'V7 Calculator'!$AV$85,'V7 Calculator'!$AV$86)))))</f>
        <v>0</v>
      </c>
      <c r="J27" s="323">
        <f t="shared" si="6"/>
        <v>0</v>
      </c>
    </row>
    <row r="28" spans="1:10" x14ac:dyDescent="0.2">
      <c r="A28" s="336" t="str">
        <f>A13</f>
        <v>DB2 Warehouse</v>
      </c>
      <c r="B28" s="324">
        <f>IF(OR(B4="",'V7 Calculator'!$E$15="Y"),0,IF($B$4="Xsmall/Min",'V7 Calculator'!$AQ$46,IF($B$4="Small",'V7 Calculator'!$AQ$47,IF($B$4="Medium",'V7 Calculator'!$AQ$48,IF($B$4="Large",'V7 Calculator'!$AQ$49,'V7 Calculator'!$AQ$50)))))</f>
        <v>0</v>
      </c>
      <c r="C28" s="327">
        <f>IF(OR(C4="",'V7 Calculator'!$E$15="Y"),0,IF($C$4="Xsmall/Min",'V7 Calculator'!$AQ$52,IF($C$4="Small",'V7 Calculator'!$AQ$53,IF($C$4="Medium",'V7 Calculator'!$AQ$54,IF($C$4="Large",'V7 Calculator'!$AQ$55,'V7 Calculator'!$AQ$56)))))</f>
        <v>0</v>
      </c>
      <c r="D28" s="327">
        <f>IF(OR($D$4="",'V7 Calculator'!E21="Y",'V7 Calculator'!$E$15="Y"),0,IF($D$4="Xsmall/Min",'V7 Calculator'!$AQ$58,IF($D$4="Small",'V7 Calculator'!$AQ$59,IF($D$4="Medium",'V7 Calculator'!$AQ$60,IF($D$4="Large",'V7 Calculator'!$AQ$61,'V7 Calculator'!$AQ$62)))))</f>
        <v>0</v>
      </c>
      <c r="E28" s="327">
        <f>IF(E4="",0,IF($E$4="Xsmall/Min",'V7 Calculator'!$AQ$64,IF($E$4="Small",'V7 Calculator'!$AQ$65,IF($E$4="Medium",'V7 Calculator'!$AQ$66,IF($E$4="Large",'V7 Calculator'!$AQ$67,'V7 Calculator'!$AQ$68)))))</f>
        <v>0</v>
      </c>
      <c r="F28" s="327">
        <f>IF(F4="",0,IF($F$4="Xsmall/Min",'V7 Calculator'!$AQ$88,IF($F$4="Small",'V7 Calculator'!$AQ$89,IF($F$4="Medium",'V7 Calculator'!$AQ$90,IF($F$4="Large",'V7 Calculator'!$AQ$91,'V7 Calculator'!$AQ$92)))))</f>
        <v>0</v>
      </c>
      <c r="G28" s="327">
        <f>IF(G4="",0,IF($G$4="Xsmall/Min",'V7 Calculator'!$AQ$70,IF($G$4="Small",'V7 Calculator'!$AQ$71,IF($G$4="Medium",'V7 Calculator'!$AQ$72,IF($G$4="Large",'V7 Calculator'!$AQ$73,'V7 Calculator'!$AQ$74)))))</f>
        <v>0</v>
      </c>
      <c r="H28" s="327">
        <f>IF($H$4="",0,IF($H$4="Xsmall/Min",'V7 Calculator'!$AQ$76,IF($H$4="Small",'V7 Calculator'!$AQ$77,IF($H$4="Medium",'V7 Calculator'!$AQ$78,IF($H$4="Large",'V7 Calculator'!$AQ$79,'V7 Calculator'!$AQ$80)))))</f>
        <v>0</v>
      </c>
      <c r="I28" s="328">
        <f>IF($I$4="",0,IF($I$4="Xsmall/Min",'V7 Calculator'!$AQ$82,IF($I$4="Small",'V7 Calculator'!$AQ$83,IF($I$4="Medium",'V7 Calculator'!$AQ$84,IF($I$4="Large",'V7 Calculator'!$AQ$85,'V7 Calculator'!$AQ$86)))))</f>
        <v>0</v>
      </c>
      <c r="J28" s="328">
        <f t="shared" si="6"/>
        <v>0</v>
      </c>
    </row>
    <row r="29" spans="1:10" x14ac:dyDescent="0.2">
      <c r="A29" s="336" t="str">
        <f>A14</f>
        <v>Watson Studio</v>
      </c>
      <c r="B29" s="677">
        <f>IF(B4="",0,IF($B$4="Xsmall/Min",'V7 Calculator'!$AS$46,IF($B$4="Small",'V7 Calculator'!$AS$47,IF($B$4="Medium",'V7 Calculator'!$AS$48,IF($B$4="Large",'V7 Calculator'!$AS$49,'V7 Calculator'!$AS$50)))))</f>
        <v>0</v>
      </c>
      <c r="C29" s="679">
        <f>IF(C4="",0,IF($C$4="Xsmall/Min",'V7 Calculator'!$AS$52,IF($C$4="Small",'V7 Calculator'!$AS$53,IF($C$4="Medium",'V7 Calculator'!$AS$54,IF($C$4="Large",'V7 Calculator'!$AS$55,'V7 Calculator'!$AS$56)))))</f>
        <v>0</v>
      </c>
      <c r="D29" s="679">
        <f>IF(D4="",0,IF($D$4="Xsmall/Min",'V7 Calculator'!$AS$58,IF($D$4="Small",'V7 Calculator'!$AS$59,IF($D$4="Medium",'V7 Calculator'!$AS$60,IF($D$4="Large",'V7 Calculator'!$AS$61,'V7 Calculator'!$AS$62)))))</f>
        <v>0</v>
      </c>
      <c r="E29" s="679">
        <f>IF(E4="",0,IF($E$4="Xsmall/Min",'V7 Calculator'!$AS$64,IF($E$4="Small",'V7 Calculator'!$AS$65,IF($E$4="Medium",'V7 Calculator'!$AS$66,IF($E$4="Large",'V7 Calculator'!$AS$67,'V7 Calculator'!$AS$68)))))</f>
        <v>0</v>
      </c>
      <c r="F29" s="679">
        <f>IF(OR(F4="",E29&gt;0),0,IF($F$4="Xsmall/Min",'V7 Calculator'!$AS$88,IF($F$4="Small",'V7 Calculator'!$AS$89,IF($F$4="Medium",'V7 Calculator'!$AS$90,IF($F$4="Large",'V7 Calculator'!$AS$91,'V7 Calculator'!$AS$92)))))</f>
        <v>0</v>
      </c>
      <c r="G29" s="679">
        <f>IF(G4="",0,IF($G$4="Xsmall/Min",'V7 Calculator'!$AS$70,IF($G$4="Small",'V7 Calculator'!$AS$71,IF($G$4="Medium",'V7 Calculator'!$AS$72,IF($G$4="Large",'V7 Calculator'!$AS$73,'V7 Calculator'!$AS$74)))))</f>
        <v>0</v>
      </c>
      <c r="H29" s="679">
        <f>IF($H$4="",0,IF($H$4="Xsmall/Min",'V7 Calculator'!$AS$76,IF($H$4="Small",'V7 Calculator'!$AS$77,IF($H$4="Medium",'V7 Calculator'!$AS$78,IF($H$4="Large",'V7 Calculator'!$AS$79,'V7 Calculator'!$AS$80)))))</f>
        <v>0</v>
      </c>
      <c r="I29" s="701">
        <f>IF($I$4="",0,IF($I$4="Xsmall/Min",'V7 Calculator'!$AS$82,IF($I$4="Small",'V7 Calculator'!$AS$83,IF($I$4="Medium",'V7 Calculator'!$AS$84,IF($I$4="Large",'V7 Calculator'!$AS$85,'V7 Calculator'!$AS$86)))))</f>
        <v>0</v>
      </c>
      <c r="J29" s="701">
        <f t="shared" si="6"/>
        <v>0</v>
      </c>
    </row>
    <row r="30" spans="1:10" x14ac:dyDescent="0.2">
      <c r="A30" s="336" t="str">
        <f>A15</f>
        <v>Watson ML</v>
      </c>
      <c r="B30" s="678"/>
      <c r="C30" s="680"/>
      <c r="D30" s="680"/>
      <c r="E30" s="680"/>
      <c r="F30" s="680"/>
      <c r="G30" s="680"/>
      <c r="H30" s="680"/>
      <c r="I30" s="702"/>
      <c r="J30" s="702">
        <f t="shared" si="6"/>
        <v>0</v>
      </c>
    </row>
    <row r="31" spans="1:10" x14ac:dyDescent="0.2">
      <c r="A31" s="336" t="s">
        <v>229</v>
      </c>
      <c r="B31" s="324">
        <f>IF($B$4="",0,IF($B$4="Xsmall/Min",'V7 Calculator'!$AW$46,IF($B$4="Small",'V7 Calculator'!$AW$47,IF($B$4="Medium",'V7 Calculator'!$AW$48,IF($B$4="Large",'V7 Calculator'!$AW$49,'V7 Calculator'!$AW$50)))))</f>
        <v>0</v>
      </c>
      <c r="C31" s="327">
        <f>IF($C$4="",0,IF($C$4="Xsmall/Min",'V7 Calculator'!$AW$52,IF($C$4="Small",'V7 Calculator'!$AW$53,IF($C$4="Medium",'V7 Calculator'!$AW$54,IF($C$4="Large",'V7 Calculator'!$AW$55,'V7 Calculator'!$AW$56)))))</f>
        <v>0</v>
      </c>
      <c r="D31" s="327">
        <f>IF($D$4="",0,IF($D$4="Xsmall/Min",'V7 Calculator'!$AW$58,IF($D$4="Small",'V7 Calculator'!$AW$59,IF($D$4="Medium",'V7 Calculator'!$AW$60,IF($D$4="Large",'V7 Calculator'!$AW$61,'V7 Calculator'!$AW$62)))))</f>
        <v>0</v>
      </c>
      <c r="E31" s="327">
        <f>IF($E$4="",0,IF($E$4="Xsmall/Min",'V7 Calculator'!$AW$64,IF($E$4="Small",'V7 Calculator'!$AW$65,IF($E$4="Medium",'V7 Calculator'!$AW$66,IF($E$4="Large",'V7 Calculator'!$AW$67,'V7 Calculator'!$AW$68)))))</f>
        <v>0</v>
      </c>
      <c r="F31" s="327">
        <f>IF($F$4="",0,IF($F$4="Xsmall/Min",'V7 Calculator'!$AW$88,IF($F$4="Small",'V7 Calculator'!$AW$89,IF($F$4="Medium",'V7 Calculator'!$AW$90,IF($F$4="Large",'V7 Calculator'!$AW$91,'V7 Calculator'!$AW$92)))))</f>
        <v>0</v>
      </c>
      <c r="G31" s="327">
        <f>IF($G$4="",0,IF($G$4="Xsmall/Min",'V7 Calculator'!$AW$70,IF($G$4="Small",'V7 Calculator'!$AW$71,IF($G$4="Medium",'V7 Calculator'!$AW$72,IF($G$4="Large",'V7 Calculator'!$AW$73,'V7 Calculator'!$AW$74)))))</f>
        <v>0</v>
      </c>
      <c r="H31" s="327">
        <f>IF($H$4="",0,IF($H$4="Xsmall/Min",'V7 Calculator'!$AW$76,IF($H$4="Small",'V7 Calculator'!$AW$77,IF($H$4="Medium",'V7 Calculator'!$AW$78,IF($H$4="Large",'V7 Calculator'!$AW$79,'V7 Calculator'!$AW$80)))))</f>
        <v>0</v>
      </c>
      <c r="I31" s="328">
        <f>IF($I$4="",0,IF($I$4="Xsmall/Min",'V7 Calculator'!$AW$82,IF($I$4="Small",'V7 Calculator'!$AW$83,IF($I$4="Medium",'V7 Calculator'!$AW$84,IF($I$4="Large",'V7 Calculator'!$AW$85,'V7 Calculator'!$AW$86)))))</f>
        <v>0</v>
      </c>
      <c r="J31" s="328">
        <f t="shared" si="6"/>
        <v>0</v>
      </c>
    </row>
    <row r="32" spans="1:10" ht="17" thickBot="1" x14ac:dyDescent="0.25">
      <c r="A32" s="337" t="str">
        <f>A17</f>
        <v>Kafka Streaming</v>
      </c>
      <c r="B32" s="330">
        <f>IF($B$4="",0,IF($B$4="Xsmall/Min",'V7 Calculator'!$AR$46,IF($B$4="Small",'V7 Calculator'!$AR$47,IF($B$4="Medium",'V7 Calculator'!$AR$48,IF($B$4="Large",'V7 Calculator'!$AR$49,'V7 Calculator'!$AR$50)))))</f>
        <v>0</v>
      </c>
      <c r="C32" s="333">
        <f>IF($C$4="",0,IF($C$4="Xsmall/Min",'V7 Calculator'!$AR$52,IF($C$4="Small",'V7 Calculator'!$AR$53,IF($C$4="Medium",'V7 Calculator'!$AR$54,IF($C$4="Large",'V7 Calculator'!$AR$55,'V7 Calculator'!$AR$56)))))</f>
        <v>0</v>
      </c>
      <c r="D32" s="333">
        <f>IF($D$4="",0,IF($D$4="Xsmall/Min",'V7 Calculator'!$AR$58,IF($D$4="Small",'V7 Calculator'!$AR$59,IF($D$4="Medium",'V7 Calculator'!$AR$60,IF($D$4="Large",'V7 Calculator'!$AR$61,'V7 Calculator'!$AR$62)))))</f>
        <v>0</v>
      </c>
      <c r="E32" s="333">
        <f>IF($E$4="",0,IF($E$4="Xsmall/Min",'V7 Calculator'!$AR$64,IF($E$4="Small",'V7 Calculator'!$AR$65,IF($E$4="Medium",'V7 Calculator'!$AR$66,IF($E$4="Large",'V7 Calculator'!$AR$67,'V7 Calculator'!$AR$68)))))</f>
        <v>0</v>
      </c>
      <c r="F32" s="333">
        <f>IF($F$4="",0,IF($F$4="Xsmall/Min",'V7 Calculator'!$AR$88,IF($F$4="Small",'V7 Calculator'!$AR$89,IF($F$4="Medium",'V7 Calculator'!$AR$90,IF($F$4="Large",'V7 Calculator'!$AR$91,'V7 Calculator'!$AR$92)))))</f>
        <v>0</v>
      </c>
      <c r="G32" s="333">
        <f>IF($G$4="",0,IF($G$4="Xsmall/Min",'V7 Calculator'!$AR$70,IF($G$4="Small",'V7 Calculator'!$AR$71,IF($G$4="Medium",'V7 Calculator'!$AR$72,IF($G$4="Large",'V7 Calculator'!$AR$73,'V7 Calculator'!$AR$74)))))</f>
        <v>0</v>
      </c>
      <c r="H32" s="333">
        <f>IF($H$4="",0,IF($H$4="Xsmall/Min",'V7 Calculator'!$AR$76,IF($H$4="Small",'V7 Calculator'!$AR$77,IF($H$4="Medium",'V7 Calculator'!$AR$78,IF($H$4="Large",'V7 Calculator'!$AR$79,'V7 Calculator'!$AR$80)))))</f>
        <v>0</v>
      </c>
      <c r="I32" s="334">
        <f>IF($I$4="",0,IF($I$4="Xsmall/Min",'V7 Calculator'!$AR$82,IF($I$4="Small",'V7 Calculator'!$AR$83,IF($I$4="Medium",'V7 Calculator'!$AR$84,IF($I$4="Large",'V7 Calculator'!$AR$85,'V7 Calculator'!$AR$86)))))</f>
        <v>0</v>
      </c>
      <c r="J32" s="334">
        <f t="shared" si="6"/>
        <v>0</v>
      </c>
    </row>
    <row r="33" spans="1:10" ht="17" thickBot="1" x14ac:dyDescent="0.25">
      <c r="A33" s="344" t="str">
        <f>A18</f>
        <v>TOTALS:</v>
      </c>
      <c r="B33" s="333">
        <f t="shared" ref="B33:J33" si="7">SUM(B21:B32)-B22</f>
        <v>0</v>
      </c>
      <c r="C33" s="333">
        <f t="shared" si="7"/>
        <v>0</v>
      </c>
      <c r="D33" s="333">
        <f t="shared" si="7"/>
        <v>0</v>
      </c>
      <c r="E33" s="333">
        <f t="shared" si="7"/>
        <v>0</v>
      </c>
      <c r="F33" s="333">
        <f t="shared" si="7"/>
        <v>0</v>
      </c>
      <c r="G33" s="333">
        <f t="shared" si="7"/>
        <v>0</v>
      </c>
      <c r="H33" s="333">
        <f t="shared" si="7"/>
        <v>0</v>
      </c>
      <c r="I33" s="334">
        <f t="shared" si="7"/>
        <v>0</v>
      </c>
      <c r="J33" s="238">
        <f t="shared" si="7"/>
        <v>0</v>
      </c>
    </row>
    <row r="34" spans="1:10" ht="16" customHeight="1" thickBot="1" x14ac:dyDescent="0.25"/>
    <row r="35" spans="1:10" ht="20" thickBot="1" x14ac:dyDescent="0.3">
      <c r="A35" s="216" t="s">
        <v>67</v>
      </c>
      <c r="B35" s="459" t="str">
        <f t="shared" ref="B35:J35" si="8">B5</f>
        <v>Manage</v>
      </c>
      <c r="C35" s="458" t="str">
        <f t="shared" si="8"/>
        <v>Monitor</v>
      </c>
      <c r="D35" s="458" t="str">
        <f t="shared" si="8"/>
        <v>Health</v>
      </c>
      <c r="E35" s="458" t="str">
        <f t="shared" si="8"/>
        <v>Predict</v>
      </c>
      <c r="F35" s="458" t="str">
        <f t="shared" si="8"/>
        <v>H&amp;P - Utilities</v>
      </c>
      <c r="G35" s="458" t="str">
        <f t="shared" si="8"/>
        <v>Visual Inspection</v>
      </c>
      <c r="H35" s="458" t="str">
        <f t="shared" si="8"/>
        <v>Assist</v>
      </c>
      <c r="I35" s="346" t="str">
        <f t="shared" si="8"/>
        <v>Safety</v>
      </c>
      <c r="J35" s="341" t="str">
        <f t="shared" si="8"/>
        <v>TOTALS</v>
      </c>
    </row>
    <row r="36" spans="1:10" ht="17" thickBot="1" x14ac:dyDescent="0.25">
      <c r="A36" s="342" t="str">
        <f>A6</f>
        <v>Application</v>
      </c>
      <c r="B36" s="305">
        <f>'V7 Calculator'!$N$21</f>
        <v>0</v>
      </c>
      <c r="C36" s="308">
        <f>'V7 Calculator'!$N$22</f>
        <v>0</v>
      </c>
      <c r="D36" s="308">
        <f>'V7 Calculator'!$N$23</f>
        <v>0</v>
      </c>
      <c r="E36" s="308">
        <f>'V7 Calculator'!$N$24</f>
        <v>0</v>
      </c>
      <c r="F36" s="308">
        <f>'V7 Calculator'!$N$25</f>
        <v>0</v>
      </c>
      <c r="G36" s="308">
        <f>'V7 Calculator'!$N$26</f>
        <v>0</v>
      </c>
      <c r="H36" s="308">
        <f>'V7 Calculator'!$N$27</f>
        <v>0</v>
      </c>
      <c r="I36" s="308">
        <f>'V7 Calculator'!$N$28</f>
        <v>0</v>
      </c>
      <c r="J36" s="378">
        <f>SUM(B36:I36)</f>
        <v>0</v>
      </c>
    </row>
    <row r="37" spans="1:10" ht="17" thickBot="1" x14ac:dyDescent="0.25">
      <c r="A37" s="342" t="s">
        <v>148</v>
      </c>
      <c r="B37" s="305">
        <f>'V7 Calculator'!$N$34</f>
        <v>0</v>
      </c>
      <c r="C37" s="308">
        <f>'V7 Calculator'!$N$35</f>
        <v>0</v>
      </c>
      <c r="D37" s="308">
        <f>'V7 Calculator'!$N$36</f>
        <v>0</v>
      </c>
      <c r="E37" s="308">
        <f>'V7 Calculator'!$N$37</f>
        <v>0</v>
      </c>
      <c r="F37" s="308">
        <f>'V7 Calculator'!$N$38</f>
        <v>0</v>
      </c>
      <c r="G37" s="308">
        <f>'V7 Calculator'!$N$39</f>
        <v>0</v>
      </c>
      <c r="H37" s="308">
        <f>'V7 Calculator'!$N$40</f>
        <v>0</v>
      </c>
      <c r="I37" s="308">
        <f>'V7 Calculator'!$N$41</f>
        <v>0</v>
      </c>
      <c r="J37" s="378">
        <f>SUM(B37:I37)</f>
        <v>0</v>
      </c>
    </row>
    <row r="38" spans="1:10" ht="17" thickBot="1" x14ac:dyDescent="0.25">
      <c r="A38" s="368" t="s">
        <v>174</v>
      </c>
      <c r="B38" s="308">
        <f>SUM(B36:B37)</f>
        <v>0</v>
      </c>
      <c r="C38" s="308">
        <f t="shared" ref="C38:J38" si="9">SUM(C36:C37)</f>
        <v>0</v>
      </c>
      <c r="D38" s="308">
        <f t="shared" si="9"/>
        <v>0</v>
      </c>
      <c r="E38" s="308">
        <f t="shared" si="9"/>
        <v>0</v>
      </c>
      <c r="F38" s="308">
        <f t="shared" si="9"/>
        <v>0</v>
      </c>
      <c r="G38" s="308">
        <f t="shared" si="9"/>
        <v>0</v>
      </c>
      <c r="H38" s="308">
        <f t="shared" si="9"/>
        <v>0</v>
      </c>
      <c r="I38" s="309">
        <f t="shared" si="9"/>
        <v>0</v>
      </c>
      <c r="J38" s="238">
        <f t="shared" si="9"/>
        <v>0</v>
      </c>
    </row>
    <row r="39" spans="1:10" ht="16" customHeight="1" thickBot="1" x14ac:dyDescent="0.25"/>
    <row r="40" spans="1:10" ht="20" thickBot="1" x14ac:dyDescent="0.3">
      <c r="A40" s="216" t="s">
        <v>175</v>
      </c>
      <c r="B40" s="217"/>
      <c r="C40" s="217"/>
      <c r="D40" s="217"/>
      <c r="E40" s="217"/>
      <c r="F40" s="217"/>
      <c r="G40" s="345">
        <f>'V7 Calculator'!P26</f>
        <v>0</v>
      </c>
      <c r="H40" s="217"/>
      <c r="I40" s="217"/>
      <c r="J40" s="238">
        <f>'V7 Calculator'!P29</f>
        <v>0</v>
      </c>
    </row>
    <row r="41" spans="1:10" ht="16" customHeight="1" thickBot="1" x14ac:dyDescent="0.25"/>
    <row r="42" spans="1:10" ht="19" x14ac:dyDescent="0.25">
      <c r="A42" s="347" t="str">
        <f>"OpenShift"</f>
        <v>OpenShift</v>
      </c>
      <c r="B42" s="223" t="s">
        <v>177</v>
      </c>
      <c r="C42" s="223" t="s">
        <v>178</v>
      </c>
      <c r="D42" s="222" t="s">
        <v>178</v>
      </c>
    </row>
    <row r="43" spans="1:10" ht="20" thickBot="1" x14ac:dyDescent="0.3">
      <c r="A43" s="227" t="s">
        <v>176</v>
      </c>
      <c r="B43" s="224" t="s">
        <v>96</v>
      </c>
      <c r="C43" s="224" t="s">
        <v>40</v>
      </c>
      <c r="D43" s="225" t="s">
        <v>67</v>
      </c>
    </row>
    <row r="44" spans="1:10" ht="19" customHeight="1" thickBot="1" x14ac:dyDescent="0.3">
      <c r="A44" s="226" t="s">
        <v>41</v>
      </c>
      <c r="B44" s="306">
        <f>'V7 Calculator'!G6</f>
        <v>12</v>
      </c>
      <c r="C44" s="308">
        <f>'V7 Calculator'!I6</f>
        <v>48</v>
      </c>
      <c r="D44" s="309">
        <f>'V7 Calculator'!K6</f>
        <v>360</v>
      </c>
    </row>
  </sheetData>
  <sheetProtection algorithmName="SHA-512" hashValue="0heZypx0Sh7cesPeIeSsF11ogTOY+wctOqX3P0qmExcsk2zuZLfBkidIfAMmilU9MZflLgFEwUn3rfeX5KdNsg==" saltValue="9dzcVHMMgEJ8uPxcdjD2Sg==" spinCount="100000" sheet="1" objects="1" scenarios="1"/>
  <mergeCells count="19">
    <mergeCell ref="H29:H30"/>
    <mergeCell ref="I29:I30"/>
    <mergeCell ref="J29:J30"/>
    <mergeCell ref="F23:F26"/>
    <mergeCell ref="F29:F30"/>
    <mergeCell ref="A1:J2"/>
    <mergeCell ref="B23:B26"/>
    <mergeCell ref="C23:C26"/>
    <mergeCell ref="D23:D26"/>
    <mergeCell ref="E23:E26"/>
    <mergeCell ref="G23:G26"/>
    <mergeCell ref="J23:J26"/>
    <mergeCell ref="H23:H26"/>
    <mergeCell ref="I23:I26"/>
    <mergeCell ref="B29:B30"/>
    <mergeCell ref="C29:C30"/>
    <mergeCell ref="D29:D30"/>
    <mergeCell ref="E29:E30"/>
    <mergeCell ref="G29:G30"/>
  </mergeCells>
  <pageMargins left="0" right="0" top="0.5" bottom="0.5" header="0.3" footer="0.3"/>
  <pageSetup scale="79" orientation="portrait" horizontalDpi="0" verticalDpi="0"/>
  <ignoredErrors>
    <ignoredError sqref="F7 F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CA20-74C3-4444-A496-65777A2FA44F}">
  <sheetPr codeName="Sheet2"/>
  <dimension ref="B1:O24"/>
  <sheetViews>
    <sheetView showGridLines="0" showRowColHeaders="0" workbookViewId="0">
      <selection activeCell="D21" sqref="D21"/>
    </sheetView>
  </sheetViews>
  <sheetFormatPr baseColWidth="10" defaultColWidth="11" defaultRowHeight="16" x14ac:dyDescent="0.2"/>
  <cols>
    <col min="1" max="1" width="7.5" customWidth="1"/>
    <col min="2" max="2" width="2.83203125" hidden="1" customWidth="1"/>
    <col min="3" max="3" width="27" customWidth="1"/>
    <col min="4" max="4" width="13.33203125" customWidth="1"/>
    <col min="5" max="5" width="34.1640625" customWidth="1"/>
    <col min="6" max="6" width="15.5" hidden="1" customWidth="1"/>
    <col min="7" max="11" width="10.83203125" hidden="1" customWidth="1"/>
    <col min="12" max="19" width="0" hidden="1" customWidth="1"/>
  </cols>
  <sheetData>
    <row r="1" spans="3:15" x14ac:dyDescent="0.2">
      <c r="C1" s="705" t="s">
        <v>149</v>
      </c>
      <c r="D1" s="706"/>
      <c r="E1" s="707"/>
      <c r="M1" s="705" t="s">
        <v>149</v>
      </c>
      <c r="N1" s="706"/>
      <c r="O1" s="707"/>
    </row>
    <row r="2" spans="3:15" ht="17" thickBot="1" x14ac:dyDescent="0.25">
      <c r="C2" s="708"/>
      <c r="D2" s="709"/>
      <c r="E2" s="710"/>
      <c r="M2" s="708"/>
      <c r="N2" s="709"/>
      <c r="O2" s="710"/>
    </row>
    <row r="3" spans="3:15" ht="17" thickBot="1" x14ac:dyDescent="0.25">
      <c r="C3" s="703" t="s">
        <v>146</v>
      </c>
      <c r="D3" s="703"/>
      <c r="E3" s="703"/>
      <c r="K3">
        <v>20</v>
      </c>
      <c r="L3" s="150"/>
      <c r="M3" s="703" t="s">
        <v>146</v>
      </c>
      <c r="N3" s="703"/>
      <c r="O3" s="703"/>
    </row>
    <row r="4" spans="3:15" x14ac:dyDescent="0.2">
      <c r="C4" s="189" t="s">
        <v>127</v>
      </c>
      <c r="D4" s="198">
        <v>5</v>
      </c>
      <c r="E4" s="189"/>
      <c r="K4">
        <v>5</v>
      </c>
      <c r="L4" s="151"/>
      <c r="M4" s="189" t="s">
        <v>127</v>
      </c>
      <c r="N4" s="198">
        <v>5</v>
      </c>
      <c r="O4" s="189" t="s">
        <v>153</v>
      </c>
    </row>
    <row r="5" spans="3:15" x14ac:dyDescent="0.2">
      <c r="C5" s="190" t="s">
        <v>135</v>
      </c>
      <c r="D5" s="199">
        <v>25</v>
      </c>
      <c r="E5" s="190"/>
      <c r="F5" t="s">
        <v>160</v>
      </c>
      <c r="K5">
        <v>750</v>
      </c>
      <c r="L5" s="151"/>
      <c r="M5" s="190" t="s">
        <v>135</v>
      </c>
      <c r="N5" s="199">
        <v>25</v>
      </c>
      <c r="O5" s="190"/>
    </row>
    <row r="6" spans="3:15" x14ac:dyDescent="0.2">
      <c r="C6" s="190" t="s">
        <v>128</v>
      </c>
      <c r="D6" s="199">
        <v>60</v>
      </c>
      <c r="E6" s="190"/>
      <c r="F6" t="s">
        <v>161</v>
      </c>
      <c r="G6" t="s">
        <v>150</v>
      </c>
      <c r="I6" t="s">
        <v>152</v>
      </c>
      <c r="K6">
        <v>50</v>
      </c>
      <c r="M6" s="190" t="s">
        <v>128</v>
      </c>
      <c r="N6" s="199">
        <v>60</v>
      </c>
      <c r="O6" s="190" t="s">
        <v>154</v>
      </c>
    </row>
    <row r="7" spans="3:15" x14ac:dyDescent="0.2">
      <c r="C7" s="206" t="s">
        <v>137</v>
      </c>
      <c r="D7" s="199">
        <v>10</v>
      </c>
      <c r="E7" s="206"/>
      <c r="F7" t="s">
        <v>162</v>
      </c>
      <c r="G7" s="300">
        <f>'V7 Calculator'!G22</f>
        <v>0</v>
      </c>
      <c r="I7" s="300">
        <f>G7/D7*D5</f>
        <v>0</v>
      </c>
      <c r="K7">
        <v>24</v>
      </c>
      <c r="L7" s="151"/>
      <c r="M7" s="206" t="s">
        <v>137</v>
      </c>
      <c r="N7" s="199">
        <v>10</v>
      </c>
      <c r="O7" s="206" t="s">
        <v>158</v>
      </c>
    </row>
    <row r="8" spans="3:15" x14ac:dyDescent="0.2">
      <c r="C8" s="206" t="s">
        <v>129</v>
      </c>
      <c r="D8" s="199">
        <v>24</v>
      </c>
      <c r="E8" s="206" t="s">
        <v>136</v>
      </c>
      <c r="F8" s="300">
        <f>D8*D6*D4</f>
        <v>7200</v>
      </c>
      <c r="G8" s="300">
        <f>D4*D6*D7</f>
        <v>3000</v>
      </c>
      <c r="K8">
        <v>1</v>
      </c>
      <c r="L8" s="151"/>
      <c r="M8" s="206" t="s">
        <v>129</v>
      </c>
      <c r="N8" s="199">
        <v>24</v>
      </c>
      <c r="O8" s="206" t="s">
        <v>136</v>
      </c>
    </row>
    <row r="9" spans="3:15" ht="17" thickBot="1" x14ac:dyDescent="0.25">
      <c r="C9" s="191" t="s">
        <v>130</v>
      </c>
      <c r="D9" s="200">
        <v>1</v>
      </c>
      <c r="E9" s="191" t="s">
        <v>136</v>
      </c>
      <c r="M9" s="191" t="s">
        <v>130</v>
      </c>
      <c r="N9" s="200">
        <v>1</v>
      </c>
      <c r="O9" s="191" t="s">
        <v>136</v>
      </c>
    </row>
    <row r="10" spans="3:15" x14ac:dyDescent="0.2">
      <c r="F10" s="300">
        <f>50*F8</f>
        <v>360000</v>
      </c>
      <c r="L10" s="151"/>
    </row>
    <row r="11" spans="3:15" x14ac:dyDescent="0.2">
      <c r="G11" t="s">
        <v>155</v>
      </c>
      <c r="H11" t="s">
        <v>156</v>
      </c>
    </row>
    <row r="12" spans="3:15" ht="17" thickBot="1" x14ac:dyDescent="0.25">
      <c r="C12" s="704" t="s">
        <v>126</v>
      </c>
      <c r="D12" s="704"/>
      <c r="E12" s="704"/>
      <c r="M12" s="704" t="s">
        <v>126</v>
      </c>
      <c r="N12" s="704"/>
      <c r="O12" s="704"/>
    </row>
    <row r="13" spans="3:15" x14ac:dyDescent="0.2">
      <c r="C13" s="192" t="s">
        <v>131</v>
      </c>
      <c r="D13" s="198">
        <v>1</v>
      </c>
      <c r="E13" s="195" t="s">
        <v>138</v>
      </c>
      <c r="K13">
        <v>1</v>
      </c>
      <c r="M13" s="192" t="s">
        <v>131</v>
      </c>
      <c r="N13" s="198">
        <v>1</v>
      </c>
      <c r="O13" s="195" t="s">
        <v>138</v>
      </c>
    </row>
    <row r="14" spans="3:15" x14ac:dyDescent="0.2">
      <c r="C14" s="193" t="s">
        <v>132</v>
      </c>
      <c r="D14" s="348">
        <f>D7</f>
        <v>10</v>
      </c>
      <c r="E14" s="196"/>
      <c r="M14" s="193" t="s">
        <v>132</v>
      </c>
      <c r="N14" s="348">
        <f>N7</f>
        <v>10</v>
      </c>
      <c r="O14" s="196"/>
    </row>
    <row r="15" spans="3:15" x14ac:dyDescent="0.2">
      <c r="C15" s="193" t="s">
        <v>133</v>
      </c>
      <c r="D15" s="348">
        <f>D6*D4</f>
        <v>300</v>
      </c>
      <c r="E15" s="196"/>
      <c r="M15" s="193" t="s">
        <v>133</v>
      </c>
      <c r="N15" s="348">
        <f>N6*N4</f>
        <v>300</v>
      </c>
      <c r="O15" s="196"/>
    </row>
    <row r="16" spans="3:15" x14ac:dyDescent="0.2">
      <c r="C16" s="193" t="s">
        <v>139</v>
      </c>
      <c r="D16" s="214" t="s">
        <v>37</v>
      </c>
      <c r="E16" s="196"/>
      <c r="K16" t="s">
        <v>37</v>
      </c>
      <c r="M16" s="193" t="s">
        <v>139</v>
      </c>
      <c r="N16" s="201" t="s">
        <v>37</v>
      </c>
      <c r="O16" s="196"/>
    </row>
    <row r="17" spans="2:15" ht="17" thickBot="1" x14ac:dyDescent="0.25">
      <c r="C17" s="194" t="s">
        <v>140</v>
      </c>
      <c r="D17" s="200">
        <v>3</v>
      </c>
      <c r="E17" s="197"/>
      <c r="K17">
        <v>3</v>
      </c>
      <c r="M17" s="194" t="s">
        <v>140</v>
      </c>
      <c r="N17" s="200">
        <v>3</v>
      </c>
      <c r="O17" s="197"/>
    </row>
    <row r="18" spans="2:15" x14ac:dyDescent="0.2">
      <c r="F18" s="300">
        <f>30*48000*50</f>
        <v>72000000</v>
      </c>
    </row>
    <row r="19" spans="2:15" ht="17" thickBot="1" x14ac:dyDescent="0.25">
      <c r="C19" s="704" t="s">
        <v>134</v>
      </c>
      <c r="D19" s="704"/>
      <c r="E19" s="704"/>
      <c r="M19" s="704" t="s">
        <v>134</v>
      </c>
      <c r="N19" s="704"/>
      <c r="O19" s="704"/>
    </row>
    <row r="20" spans="2:15" ht="17" thickBot="1" x14ac:dyDescent="0.25">
      <c r="C20" s="209" t="s">
        <v>151</v>
      </c>
      <c r="D20" s="349">
        <f>D4*D5*D6*D7*(D8)*D9</f>
        <v>1800000</v>
      </c>
      <c r="E20" s="210" t="s">
        <v>163</v>
      </c>
      <c r="G20" s="300">
        <f>D20/1440</f>
        <v>1250</v>
      </c>
      <c r="M20" s="209" t="s">
        <v>151</v>
      </c>
      <c r="N20" s="349">
        <f>N4*N5*N6*N7*(N8)*N9</f>
        <v>1800000</v>
      </c>
      <c r="O20" s="210" t="s">
        <v>163</v>
      </c>
    </row>
    <row r="21" spans="2:15" ht="17" thickBot="1" x14ac:dyDescent="0.25">
      <c r="C21" s="207" t="s">
        <v>147</v>
      </c>
      <c r="D21" s="350">
        <f>(D15*D17*365*D13*D14)/IF(D16="Y",24,1)</f>
        <v>3285000</v>
      </c>
      <c r="E21" s="208" t="s">
        <v>144</v>
      </c>
      <c r="I21" t="s">
        <v>167</v>
      </c>
      <c r="J21">
        <v>25</v>
      </c>
      <c r="M21" s="207" t="s">
        <v>147</v>
      </c>
      <c r="N21" s="351">
        <f>(N15*N17*365*N13*N14)/IF(N16="Y",24,1)</f>
        <v>3285000</v>
      </c>
      <c r="O21" s="208" t="s">
        <v>144</v>
      </c>
    </row>
    <row r="22" spans="2:15" ht="17" thickBot="1" x14ac:dyDescent="0.25">
      <c r="I22" t="s">
        <v>168</v>
      </c>
      <c r="J22">
        <v>5</v>
      </c>
    </row>
    <row r="23" spans="2:15" ht="17" thickBot="1" x14ac:dyDescent="0.25">
      <c r="B23" t="s">
        <v>36</v>
      </c>
      <c r="C23" s="207" t="s">
        <v>157</v>
      </c>
      <c r="D23" s="352">
        <f>D20+D21</f>
        <v>5085000</v>
      </c>
      <c r="E23" s="208"/>
      <c r="I23" t="s">
        <v>169</v>
      </c>
      <c r="J23">
        <v>60</v>
      </c>
      <c r="M23" t="s">
        <v>157</v>
      </c>
      <c r="N23" s="202"/>
    </row>
    <row r="24" spans="2:15" x14ac:dyDescent="0.2">
      <c r="B24" t="s">
        <v>37</v>
      </c>
      <c r="F24" t="s">
        <v>159</v>
      </c>
      <c r="I24" t="s">
        <v>170</v>
      </c>
      <c r="J24">
        <v>10</v>
      </c>
    </row>
  </sheetData>
  <sheetProtection algorithmName="SHA-512" hashValue="dZLu9Z4RIPdzjxgOh/P3OBlvlQb39BjpzQ+biydlrgD5MzFm47I+nKkBhAX1oh8HA37KY+Z+eUp5jIxS1NdeQw==" saltValue="M+PtUhMMgF4yyTlAl1x85g==" spinCount="100000" sheet="1" objects="1" scenarios="1"/>
  <mergeCells count="8">
    <mergeCell ref="C3:E3"/>
    <mergeCell ref="C12:E12"/>
    <mergeCell ref="C19:E19"/>
    <mergeCell ref="C1:E2"/>
    <mergeCell ref="M1:O2"/>
    <mergeCell ref="M3:O3"/>
    <mergeCell ref="M12:O12"/>
    <mergeCell ref="M19:O19"/>
  </mergeCells>
  <dataValidations count="1">
    <dataValidation type="list" allowBlank="1" showInputMessage="1" showErrorMessage="1" sqref="D16 N16" xr:uid="{5D7A090A-2B52-B840-AFF3-687873296EF3}">
      <formula1>$B$23:$B$24</formula1>
    </dataValidation>
  </dataValidation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55D5-B7BA-4661-A84E-93B4BDFEBFD1}">
  <dimension ref="A1:B44"/>
  <sheetViews>
    <sheetView workbookViewId="0"/>
  </sheetViews>
  <sheetFormatPr baseColWidth="10" defaultColWidth="8.83203125" defaultRowHeight="16" x14ac:dyDescent="0.2"/>
  <cols>
    <col min="1" max="1" width="9.1640625" customWidth="1"/>
    <col min="2" max="2" width="82.6640625" customWidth="1"/>
  </cols>
  <sheetData>
    <row r="1" spans="1:2" ht="18" thickBot="1" x14ac:dyDescent="0.25">
      <c r="A1" s="414" t="s">
        <v>189</v>
      </c>
      <c r="B1" s="415" t="s">
        <v>190</v>
      </c>
    </row>
    <row r="2" spans="1:2" ht="17" x14ac:dyDescent="0.2">
      <c r="A2" s="416" t="s">
        <v>188</v>
      </c>
      <c r="B2" s="417" t="s">
        <v>191</v>
      </c>
    </row>
    <row r="3" spans="1:2" ht="17" x14ac:dyDescent="0.2">
      <c r="A3" s="253"/>
      <c r="B3" s="418" t="s">
        <v>192</v>
      </c>
    </row>
    <row r="4" spans="1:2" ht="17" x14ac:dyDescent="0.2">
      <c r="A4" s="253"/>
      <c r="B4" s="418" t="s">
        <v>193</v>
      </c>
    </row>
    <row r="5" spans="1:2" ht="17" x14ac:dyDescent="0.2">
      <c r="A5" s="253"/>
      <c r="B5" s="418" t="s">
        <v>194</v>
      </c>
    </row>
    <row r="6" spans="1:2" ht="17" x14ac:dyDescent="0.2">
      <c r="A6" s="253"/>
      <c r="B6" s="418" t="s">
        <v>195</v>
      </c>
    </row>
    <row r="7" spans="1:2" ht="34" x14ac:dyDescent="0.2">
      <c r="A7" s="253"/>
      <c r="B7" s="418" t="s">
        <v>203</v>
      </c>
    </row>
    <row r="8" spans="1:2" ht="18" thickBot="1" x14ac:dyDescent="0.25">
      <c r="A8" s="258"/>
      <c r="B8" s="419" t="s">
        <v>204</v>
      </c>
    </row>
    <row r="9" spans="1:2" ht="17" thickBot="1" x14ac:dyDescent="0.25">
      <c r="A9" s="420"/>
      <c r="B9" s="421"/>
    </row>
    <row r="10" spans="1:2" ht="17" x14ac:dyDescent="0.2">
      <c r="A10" s="416" t="s">
        <v>196</v>
      </c>
      <c r="B10" s="417" t="s">
        <v>197</v>
      </c>
    </row>
    <row r="11" spans="1:2" ht="17" x14ac:dyDescent="0.2">
      <c r="A11" s="253"/>
      <c r="B11" s="418" t="s">
        <v>198</v>
      </c>
    </row>
    <row r="12" spans="1:2" ht="17" x14ac:dyDescent="0.2">
      <c r="A12" s="253"/>
      <c r="B12" s="418" t="s">
        <v>192</v>
      </c>
    </row>
    <row r="13" spans="1:2" ht="17" x14ac:dyDescent="0.2">
      <c r="A13" s="253"/>
      <c r="B13" s="418" t="s">
        <v>209</v>
      </c>
    </row>
    <row r="14" spans="1:2" ht="34" x14ac:dyDescent="0.2">
      <c r="A14" s="253"/>
      <c r="B14" s="418" t="s">
        <v>210</v>
      </c>
    </row>
    <row r="15" spans="1:2" ht="34" x14ac:dyDescent="0.2">
      <c r="A15" s="253"/>
      <c r="B15" s="418" t="s">
        <v>199</v>
      </c>
    </row>
    <row r="16" spans="1:2" ht="17" x14ac:dyDescent="0.2">
      <c r="A16" s="253"/>
      <c r="B16" s="418" t="s">
        <v>200</v>
      </c>
    </row>
    <row r="17" spans="1:2" ht="34" x14ac:dyDescent="0.2">
      <c r="A17" s="253"/>
      <c r="B17" s="418" t="s">
        <v>201</v>
      </c>
    </row>
    <row r="18" spans="1:2" ht="34" x14ac:dyDescent="0.2">
      <c r="A18" s="253"/>
      <c r="B18" s="418" t="s">
        <v>202</v>
      </c>
    </row>
    <row r="19" spans="1:2" ht="39" customHeight="1" x14ac:dyDescent="0.2">
      <c r="A19" s="253"/>
      <c r="B19" s="418" t="s">
        <v>205</v>
      </c>
    </row>
    <row r="20" spans="1:2" ht="51" x14ac:dyDescent="0.2">
      <c r="A20" s="253"/>
      <c r="B20" s="418" t="s">
        <v>206</v>
      </c>
    </row>
    <row r="21" spans="1:2" ht="17" x14ac:dyDescent="0.2">
      <c r="A21" s="253"/>
      <c r="B21" s="418" t="s">
        <v>207</v>
      </c>
    </row>
    <row r="22" spans="1:2" ht="18" thickBot="1" x14ac:dyDescent="0.25">
      <c r="A22" s="258"/>
      <c r="B22" s="419" t="s">
        <v>219</v>
      </c>
    </row>
    <row r="23" spans="1:2" ht="17" thickBot="1" x14ac:dyDescent="0.25"/>
    <row r="24" spans="1:2" ht="24" customHeight="1" x14ac:dyDescent="0.2">
      <c r="A24" s="416" t="s">
        <v>220</v>
      </c>
      <c r="B24" s="417" t="s">
        <v>233</v>
      </c>
    </row>
    <row r="25" spans="1:2" ht="17" x14ac:dyDescent="0.2">
      <c r="A25" s="253"/>
      <c r="B25" s="418" t="s">
        <v>221</v>
      </c>
    </row>
    <row r="26" spans="1:2" ht="17" x14ac:dyDescent="0.2">
      <c r="A26" s="253"/>
      <c r="B26" s="418" t="s">
        <v>234</v>
      </c>
    </row>
    <row r="27" spans="1:2" ht="17" thickBot="1" x14ac:dyDescent="0.25"/>
    <row r="28" spans="1:2" ht="17" x14ac:dyDescent="0.2">
      <c r="A28" s="416" t="s">
        <v>235</v>
      </c>
      <c r="B28" s="417" t="s">
        <v>236</v>
      </c>
    </row>
    <row r="29" spans="1:2" x14ac:dyDescent="0.2">
      <c r="A29" s="253"/>
      <c r="B29" s="418"/>
    </row>
    <row r="30" spans="1:2" x14ac:dyDescent="0.2">
      <c r="A30" s="253"/>
      <c r="B30" s="418"/>
    </row>
    <row r="31" spans="1:2" ht="17" thickBot="1" x14ac:dyDescent="0.25"/>
    <row r="32" spans="1:2" ht="17" x14ac:dyDescent="0.2">
      <c r="A32" s="416" t="s">
        <v>237</v>
      </c>
      <c r="B32" s="417" t="s">
        <v>238</v>
      </c>
    </row>
    <row r="33" spans="1:2" ht="17" x14ac:dyDescent="0.2">
      <c r="A33" s="253"/>
      <c r="B33" s="418" t="s">
        <v>239</v>
      </c>
    </row>
    <row r="34" spans="1:2" ht="17" x14ac:dyDescent="0.2">
      <c r="A34" s="253"/>
      <c r="B34" s="418" t="s">
        <v>240</v>
      </c>
    </row>
    <row r="35" spans="1:2" ht="17" thickBot="1" x14ac:dyDescent="0.25"/>
    <row r="36" spans="1:2" ht="17" x14ac:dyDescent="0.2">
      <c r="A36" s="416" t="s">
        <v>251</v>
      </c>
      <c r="B36" s="417" t="s">
        <v>252</v>
      </c>
    </row>
    <row r="37" spans="1:2" ht="17" x14ac:dyDescent="0.2">
      <c r="A37" s="253"/>
      <c r="B37" s="418" t="s">
        <v>253</v>
      </c>
    </row>
    <row r="38" spans="1:2" ht="34" x14ac:dyDescent="0.2">
      <c r="A38" s="253"/>
      <c r="B38" s="418" t="s">
        <v>254</v>
      </c>
    </row>
    <row r="39" spans="1:2" ht="17" x14ac:dyDescent="0.2">
      <c r="A39" s="253"/>
      <c r="B39" s="418" t="s">
        <v>255</v>
      </c>
    </row>
    <row r="40" spans="1:2" ht="17" customHeight="1" x14ac:dyDescent="0.2">
      <c r="A40" s="253"/>
      <c r="B40" s="418" t="s">
        <v>256</v>
      </c>
    </row>
    <row r="41" spans="1:2" ht="17" x14ac:dyDescent="0.2">
      <c r="A41" s="253"/>
      <c r="B41" s="418" t="s">
        <v>257</v>
      </c>
    </row>
    <row r="42" spans="1:2" ht="17" x14ac:dyDescent="0.2">
      <c r="A42" s="253"/>
      <c r="B42" s="418" t="s">
        <v>262</v>
      </c>
    </row>
    <row r="43" spans="1:2" ht="17" x14ac:dyDescent="0.2">
      <c r="A43" s="253"/>
      <c r="B43" s="418" t="s">
        <v>263</v>
      </c>
    </row>
    <row r="44" spans="1:2" ht="17" x14ac:dyDescent="0.2">
      <c r="A44" s="253"/>
      <c r="B44" s="418" t="s">
        <v>264</v>
      </c>
    </row>
  </sheetData>
  <sheetProtection algorithmName="SHA-512" hashValue="rFAcCI17EsG6jS30FxMoKcHWdeN5FbuSE5pdaLRZw11gVw14fNFxSMRH9qnbXhQ3oNE4IP3lQWthzpN4gW648w==" saltValue="UrVrnnS0vLpDgsGJ376jCw==" spinCount="100000" sheet="1" objects="1" scenarios="1"/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V7 Calculator</vt:lpstr>
      <vt:lpstr>Detailed Report</vt:lpstr>
      <vt:lpstr>Predict Data Points</vt:lpstr>
      <vt:lpstr>Versions</vt:lpstr>
      <vt:lpstr>EnvironmentSizes</vt:lpstr>
      <vt:lpstr>'Detailed Report'!Print_Area</vt:lpstr>
      <vt:lpstr>'Predict Data Points'!Print_Area</vt:lpstr>
      <vt:lpstr>'V7 Calculator'!Print_Area</vt:lpstr>
      <vt:lpstr>Versions!Print_Area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Campbell</dc:creator>
  <cp:lastModifiedBy>Scott Campbell</cp:lastModifiedBy>
  <cp:lastPrinted>2021-02-23T15:17:48Z</cp:lastPrinted>
  <dcterms:created xsi:type="dcterms:W3CDTF">2020-08-11T06:33:57Z</dcterms:created>
  <dcterms:modified xsi:type="dcterms:W3CDTF">2021-07-29T01:16:35Z</dcterms:modified>
</cp:coreProperties>
</file>